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60429\Desktop\Archivos portal de transparència\Per pujar al portal\2020\Per pujar la portal a principis d'novembre\"/>
    </mc:Choice>
  </mc:AlternateContent>
  <bookViews>
    <workbookView xWindow="0" yWindow="-135" windowWidth="19185" windowHeight="3945" tabRatio="588"/>
  </bookViews>
  <sheets>
    <sheet name="Resum" sheetId="15" r:id="rId1"/>
    <sheet name="Cap. 3 Ing. vendes" sheetId="19" r:id="rId2"/>
    <sheet name="Cap. 4 Ing. Transf.corrents" sheetId="18" r:id="rId3"/>
    <sheet name="Cap. 5 i 8 Ing. pat" sheetId="17" r:id="rId4"/>
    <sheet name="Cap. 1 Desp. Personal" sheetId="16" r:id="rId5"/>
    <sheet name="Cap. 2 Desp.Corrents" sheetId="11" r:id="rId6"/>
    <sheet name="Cap. 3-4-6 Df, Tc, Inv" sheetId="20" r:id="rId7"/>
    <sheet name="Hoja1" sheetId="21" r:id="rId8"/>
  </sheets>
  <calcPr calcId="162913"/>
</workbook>
</file>

<file path=xl/calcChain.xml><?xml version="1.0" encoding="utf-8"?>
<calcChain xmlns="http://schemas.openxmlformats.org/spreadsheetml/2006/main">
  <c r="M21" i="19" l="1"/>
  <c r="N22" i="18" l="1"/>
  <c r="I22" i="18"/>
  <c r="M26" i="19" l="1"/>
  <c r="I17" i="18" l="1"/>
  <c r="M17" i="18"/>
  <c r="N15" i="18"/>
  <c r="N12" i="18"/>
  <c r="N10" i="18"/>
  <c r="N8" i="18"/>
  <c r="O21" i="18"/>
  <c r="M25" i="19"/>
  <c r="O11" i="19"/>
  <c r="O17" i="19"/>
  <c r="O12" i="19"/>
  <c r="O13" i="19"/>
  <c r="N12" i="19"/>
  <c r="N13" i="19"/>
  <c r="M13" i="19"/>
  <c r="M12" i="19"/>
  <c r="H12" i="19"/>
  <c r="H13" i="19"/>
  <c r="M30" i="20" l="1"/>
  <c r="M29" i="20"/>
  <c r="N20" i="11"/>
  <c r="O20" i="11" s="1"/>
  <c r="N21" i="11"/>
  <c r="O21" i="11" s="1"/>
  <c r="M23" i="11"/>
  <c r="M29" i="11"/>
  <c r="M22" i="11"/>
  <c r="M24" i="11"/>
  <c r="M19" i="11"/>
  <c r="M21" i="11"/>
  <c r="M17" i="11"/>
  <c r="M16" i="11"/>
  <c r="M15" i="11"/>
  <c r="M13" i="11"/>
  <c r="M12" i="11"/>
  <c r="M9" i="11"/>
  <c r="L12" i="18" l="1"/>
  <c r="M12" i="18"/>
  <c r="O12" i="18"/>
  <c r="N14" i="18"/>
  <c r="M14" i="19"/>
  <c r="M28" i="19"/>
  <c r="M10" i="19"/>
  <c r="K21" i="11" l="1"/>
  <c r="I21" i="18"/>
  <c r="M15" i="16" l="1"/>
  <c r="I7" i="11" l="1"/>
  <c r="K7" i="11"/>
  <c r="M7" i="11"/>
  <c r="M3" i="11" s="1"/>
  <c r="K21" i="15" s="1"/>
  <c r="I27" i="20"/>
  <c r="J27" i="20"/>
  <c r="K27" i="20"/>
  <c r="M27" i="20"/>
  <c r="M23" i="20" s="1"/>
  <c r="K24" i="15" s="1"/>
  <c r="N27" i="20"/>
  <c r="J21" i="11"/>
  <c r="K7" i="18"/>
  <c r="J7" i="19"/>
  <c r="K7" i="19"/>
  <c r="M9" i="19"/>
  <c r="N10" i="19"/>
  <c r="K21" i="18"/>
  <c r="J14" i="18"/>
  <c r="L14" i="18"/>
  <c r="H14" i="18"/>
  <c r="H12" i="18" s="1"/>
  <c r="G12" i="18"/>
  <c r="I12" i="18"/>
  <c r="K12" i="18"/>
  <c r="F12" i="18"/>
  <c r="G9" i="19"/>
  <c r="K21" i="19"/>
  <c r="I21" i="19"/>
  <c r="N21" i="19" s="1"/>
  <c r="K14" i="19"/>
  <c r="I14" i="19"/>
  <c r="K10" i="19"/>
  <c r="K28" i="19"/>
  <c r="I28" i="19"/>
  <c r="N28" i="19" s="1"/>
  <c r="I10" i="19"/>
  <c r="K23" i="15"/>
  <c r="M23" i="15"/>
  <c r="K10" i="15"/>
  <c r="L10" i="15"/>
  <c r="M10" i="15"/>
  <c r="K11" i="15"/>
  <c r="L11" i="15"/>
  <c r="M11" i="15"/>
  <c r="N32" i="20"/>
  <c r="O32" i="20" s="1"/>
  <c r="N31" i="20"/>
  <c r="O31" i="20" s="1"/>
  <c r="N30" i="20"/>
  <c r="N29" i="20"/>
  <c r="O29" i="20" s="1"/>
  <c r="N28" i="20"/>
  <c r="O28" i="20" s="1"/>
  <c r="N18" i="20"/>
  <c r="O18" i="20" s="1"/>
  <c r="O17" i="20" s="1"/>
  <c r="O13" i="20" s="1"/>
  <c r="M17" i="20"/>
  <c r="M13" i="20"/>
  <c r="N9" i="20"/>
  <c r="O9" i="20" s="1"/>
  <c r="N8" i="20"/>
  <c r="M7" i="20"/>
  <c r="M3" i="20" s="1"/>
  <c r="K22" i="15" s="1"/>
  <c r="N29" i="11"/>
  <c r="O29" i="11" s="1"/>
  <c r="O28" i="11"/>
  <c r="N28" i="11"/>
  <c r="N27" i="11"/>
  <c r="O27" i="11" s="1"/>
  <c r="N26" i="11"/>
  <c r="O26" i="11" s="1"/>
  <c r="N25" i="11"/>
  <c r="O25" i="11" s="1"/>
  <c r="N24" i="11"/>
  <c r="O24" i="11" s="1"/>
  <c r="N23" i="11"/>
  <c r="N22" i="11"/>
  <c r="O22" i="11" s="1"/>
  <c r="N19" i="11"/>
  <c r="O19" i="11" s="1"/>
  <c r="N18" i="11"/>
  <c r="O18" i="11" s="1"/>
  <c r="N17" i="11"/>
  <c r="O17" i="11" s="1"/>
  <c r="N16" i="11"/>
  <c r="O16" i="11" s="1"/>
  <c r="N15" i="11"/>
  <c r="O15" i="11" s="1"/>
  <c r="N14" i="11"/>
  <c r="O14" i="11" s="1"/>
  <c r="N13" i="11"/>
  <c r="O13" i="11" s="1"/>
  <c r="N12" i="11"/>
  <c r="O12" i="11" s="1"/>
  <c r="N11" i="11"/>
  <c r="O11" i="11" s="1"/>
  <c r="N10" i="11"/>
  <c r="N9" i="11"/>
  <c r="O9" i="11" s="1"/>
  <c r="N8" i="11"/>
  <c r="O8" i="11" s="1"/>
  <c r="N15" i="16"/>
  <c r="O15" i="16" s="1"/>
  <c r="N14" i="16"/>
  <c r="O14" i="16" s="1"/>
  <c r="N13" i="16"/>
  <c r="O13" i="16" s="1"/>
  <c r="N12" i="16"/>
  <c r="O12" i="16" s="1"/>
  <c r="N11" i="16"/>
  <c r="O11" i="16" s="1"/>
  <c r="N10" i="16"/>
  <c r="N9" i="16"/>
  <c r="O9" i="16" s="1"/>
  <c r="N8" i="16"/>
  <c r="O8" i="16" s="1"/>
  <c r="M7" i="16"/>
  <c r="M3" i="16" s="1"/>
  <c r="K20" i="15" s="1"/>
  <c r="N20" i="17"/>
  <c r="O20" i="17" s="1"/>
  <c r="O19" i="17" s="1"/>
  <c r="O18" i="17" s="1"/>
  <c r="O14" i="17" s="1"/>
  <c r="N19" i="17"/>
  <c r="N18" i="17" s="1"/>
  <c r="N14" i="17" s="1"/>
  <c r="M19" i="17"/>
  <c r="M18" i="17"/>
  <c r="M14" i="17" s="1"/>
  <c r="N9" i="17"/>
  <c r="O9" i="17" s="1"/>
  <c r="O8" i="17" s="1"/>
  <c r="O7" i="17" s="1"/>
  <c r="O3" i="17" s="1"/>
  <c r="N8" i="17"/>
  <c r="N7" i="17" s="1"/>
  <c r="N3" i="17" s="1"/>
  <c r="M8" i="17"/>
  <c r="M7" i="17" s="1"/>
  <c r="M3" i="17" s="1"/>
  <c r="O13" i="18"/>
  <c r="M20" i="18"/>
  <c r="N24" i="18"/>
  <c r="N21" i="18"/>
  <c r="N19" i="18"/>
  <c r="N9" i="18"/>
  <c r="N18" i="18"/>
  <c r="O18" i="18" s="1"/>
  <c r="O17" i="18" s="1"/>
  <c r="N16" i="18"/>
  <c r="O16" i="18" s="1"/>
  <c r="O15" i="18" s="1"/>
  <c r="M15" i="18"/>
  <c r="N13" i="18"/>
  <c r="N11" i="18"/>
  <c r="M10" i="18"/>
  <c r="O9" i="18"/>
  <c r="O8" i="18" s="1"/>
  <c r="M8" i="18"/>
  <c r="N29" i="19"/>
  <c r="M27" i="19"/>
  <c r="M22" i="19"/>
  <c r="N26" i="19"/>
  <c r="O26" i="19" s="1"/>
  <c r="N25" i="19"/>
  <c r="O25" i="19" s="1"/>
  <c r="N24" i="19"/>
  <c r="O24" i="19" s="1"/>
  <c r="N23" i="19"/>
  <c r="O23" i="19" s="1"/>
  <c r="N20" i="19"/>
  <c r="O20" i="19" s="1"/>
  <c r="N19" i="19"/>
  <c r="O19" i="19" s="1"/>
  <c r="N18" i="19"/>
  <c r="N17" i="19"/>
  <c r="N16" i="19"/>
  <c r="O16" i="19" s="1"/>
  <c r="N15" i="19"/>
  <c r="O15" i="19" s="1"/>
  <c r="N14" i="19"/>
  <c r="O14" i="19" s="1"/>
  <c r="N11" i="19"/>
  <c r="N8" i="19"/>
  <c r="O8" i="19" s="1"/>
  <c r="N17" i="18" l="1"/>
  <c r="O19" i="18"/>
  <c r="N20" i="18"/>
  <c r="N7" i="18" s="1"/>
  <c r="O22" i="18"/>
  <c r="O18" i="19"/>
  <c r="N9" i="19"/>
  <c r="N7" i="20"/>
  <c r="N3" i="20" s="1"/>
  <c r="L22" i="15" s="1"/>
  <c r="M7" i="18"/>
  <c r="M3" i="18" s="1"/>
  <c r="K9" i="15" s="1"/>
  <c r="O11" i="18"/>
  <c r="N22" i="19"/>
  <c r="O22" i="19" s="1"/>
  <c r="M7" i="19"/>
  <c r="M3" i="19" s="1"/>
  <c r="K8" i="15" s="1"/>
  <c r="N7" i="11"/>
  <c r="N3" i="11" s="1"/>
  <c r="L21" i="15" s="1"/>
  <c r="N23" i="20"/>
  <c r="L24" i="15" s="1"/>
  <c r="N17" i="20"/>
  <c r="N13" i="20" s="1"/>
  <c r="L23" i="15" s="1"/>
  <c r="O8" i="20"/>
  <c r="O7" i="20" s="1"/>
  <c r="O3" i="20" s="1"/>
  <c r="M22" i="15" s="1"/>
  <c r="O10" i="11"/>
  <c r="N7" i="16"/>
  <c r="N3" i="16" s="1"/>
  <c r="L20" i="15" s="1"/>
  <c r="O24" i="18"/>
  <c r="O10" i="18"/>
  <c r="L26" i="15" l="1"/>
  <c r="K13" i="15" l="1"/>
  <c r="K26" i="15"/>
  <c r="L18" i="20"/>
  <c r="J8" i="16"/>
  <c r="L22" i="18"/>
  <c r="L21" i="18"/>
  <c r="L20" i="18" s="1"/>
  <c r="L24" i="18"/>
  <c r="H24" i="18"/>
  <c r="F20" i="18"/>
  <c r="G20" i="18"/>
  <c r="H20" i="18"/>
  <c r="I20" i="18"/>
  <c r="K20" i="18"/>
  <c r="J22" i="18"/>
  <c r="K22" i="18"/>
  <c r="J24" i="18"/>
  <c r="F7" i="18"/>
  <c r="J9" i="18"/>
  <c r="J8" i="18" s="1"/>
  <c r="H9" i="18"/>
  <c r="H8" i="18" s="1"/>
  <c r="K8" i="18"/>
  <c r="I8" i="18"/>
  <c r="G8" i="18"/>
  <c r="F8" i="18"/>
  <c r="K25" i="19"/>
  <c r="O20" i="18" l="1"/>
  <c r="K29" i="15"/>
  <c r="L9" i="18"/>
  <c r="L8" i="18" s="1"/>
  <c r="L11" i="11"/>
  <c r="O7" i="18" l="1"/>
  <c r="E23" i="15"/>
  <c r="F23" i="15"/>
  <c r="D23" i="15"/>
  <c r="J13" i="11"/>
  <c r="J7" i="11" s="1"/>
  <c r="O3" i="18" l="1"/>
  <c r="M9" i="15" s="1"/>
  <c r="J10" i="19"/>
  <c r="J14" i="11"/>
  <c r="J15" i="11"/>
  <c r="J16" i="11"/>
  <c r="J17" i="11"/>
  <c r="J18" i="11"/>
  <c r="J19" i="11"/>
  <c r="J20" i="11"/>
  <c r="J22" i="11"/>
  <c r="J23" i="11"/>
  <c r="J24" i="11"/>
  <c r="J25" i="11"/>
  <c r="J26" i="11"/>
  <c r="J27" i="11"/>
  <c r="J28" i="11"/>
  <c r="J29" i="11"/>
  <c r="L12" i="11"/>
  <c r="L13" i="11"/>
  <c r="L7" i="11" s="1"/>
  <c r="L14" i="11"/>
  <c r="L15" i="11"/>
  <c r="L16" i="11"/>
  <c r="L17" i="11"/>
  <c r="L18" i="11"/>
  <c r="L19" i="11"/>
  <c r="L20" i="11"/>
  <c r="L21" i="11"/>
  <c r="L22" i="11"/>
  <c r="L24" i="11"/>
  <c r="L25" i="11"/>
  <c r="L26" i="11"/>
  <c r="L27" i="11"/>
  <c r="L28" i="11"/>
  <c r="J12" i="11"/>
  <c r="J11" i="11"/>
  <c r="H10" i="11"/>
  <c r="J10" i="11"/>
  <c r="L10" i="11"/>
  <c r="L8" i="16" l="1"/>
  <c r="E11" i="15"/>
  <c r="F11" i="15"/>
  <c r="G11" i="15"/>
  <c r="H11" i="15"/>
  <c r="I11" i="15"/>
  <c r="J11" i="15"/>
  <c r="D11" i="15"/>
  <c r="J8" i="19"/>
  <c r="K9" i="19"/>
  <c r="F9" i="19"/>
  <c r="F7" i="19" s="1"/>
  <c r="I9" i="19"/>
  <c r="I7" i="19" s="1"/>
  <c r="J28" i="19"/>
  <c r="J27" i="19" s="1"/>
  <c r="G22" i="19"/>
  <c r="I22" i="19"/>
  <c r="K22" i="19"/>
  <c r="F22" i="19"/>
  <c r="I27" i="19"/>
  <c r="N27" i="19" s="1"/>
  <c r="K27" i="19"/>
  <c r="F27" i="19"/>
  <c r="G27" i="19"/>
  <c r="J26" i="19"/>
  <c r="H26" i="19"/>
  <c r="L26" i="19" s="1"/>
  <c r="J25" i="19"/>
  <c r="H25" i="19"/>
  <c r="L25" i="19" s="1"/>
  <c r="J24" i="19"/>
  <c r="H24" i="19"/>
  <c r="L24" i="19" s="1"/>
  <c r="J23" i="19"/>
  <c r="H23" i="19"/>
  <c r="L23" i="19" s="1"/>
  <c r="J29" i="19"/>
  <c r="H29" i="19"/>
  <c r="H28" i="19"/>
  <c r="N7" i="19" l="1"/>
  <c r="N3" i="19" s="1"/>
  <c r="L8" i="15" s="1"/>
  <c r="L28" i="19"/>
  <c r="O28" i="19"/>
  <c r="G7" i="19"/>
  <c r="L29" i="19"/>
  <c r="L27" i="19" s="1"/>
  <c r="O29" i="19"/>
  <c r="L22" i="19"/>
  <c r="J22" i="19"/>
  <c r="I3" i="19"/>
  <c r="G8" i="15" s="1"/>
  <c r="H22" i="19"/>
  <c r="H27" i="19"/>
  <c r="O27" i="19" s="1"/>
  <c r="E22" i="15"/>
  <c r="F22" i="15"/>
  <c r="E10" i="15"/>
  <c r="F10" i="15"/>
  <c r="G10" i="15"/>
  <c r="H10" i="15"/>
  <c r="I10" i="15"/>
  <c r="J10" i="15"/>
  <c r="G27" i="20"/>
  <c r="G23" i="20" s="1"/>
  <c r="E24" i="15" s="1"/>
  <c r="I23" i="20"/>
  <c r="G24" i="15" s="1"/>
  <c r="K23" i="20"/>
  <c r="I24" i="15" s="1"/>
  <c r="F27" i="20"/>
  <c r="H32" i="20"/>
  <c r="J32" i="20"/>
  <c r="L32" i="20"/>
  <c r="L31" i="20"/>
  <c r="J31" i="20"/>
  <c r="H31" i="20"/>
  <c r="J30" i="20"/>
  <c r="H30" i="20"/>
  <c r="J29" i="20"/>
  <c r="H29" i="20"/>
  <c r="L29" i="20" s="1"/>
  <c r="J28" i="20"/>
  <c r="H28" i="20"/>
  <c r="L28" i="20" s="1"/>
  <c r="J18" i="20"/>
  <c r="J17" i="20" s="1"/>
  <c r="J13" i="20" s="1"/>
  <c r="H23" i="15" s="1"/>
  <c r="H18" i="20"/>
  <c r="H17" i="20" s="1"/>
  <c r="H13" i="20" s="1"/>
  <c r="K17" i="20"/>
  <c r="K13" i="20" s="1"/>
  <c r="I23" i="15" s="1"/>
  <c r="I17" i="20"/>
  <c r="I13" i="20" s="1"/>
  <c r="G23" i="15" s="1"/>
  <c r="G17" i="20"/>
  <c r="G13" i="20" s="1"/>
  <c r="L9" i="20"/>
  <c r="J9" i="20"/>
  <c r="H9" i="20"/>
  <c r="J8" i="20"/>
  <c r="H8" i="20"/>
  <c r="H7" i="20" s="1"/>
  <c r="H3" i="20" s="1"/>
  <c r="K7" i="20"/>
  <c r="K3" i="20" s="1"/>
  <c r="I22" i="15" s="1"/>
  <c r="I7" i="20"/>
  <c r="I3" i="20" s="1"/>
  <c r="G22" i="15" s="1"/>
  <c r="G7" i="20"/>
  <c r="G3" i="20"/>
  <c r="F17" i="20"/>
  <c r="F13" i="20" s="1"/>
  <c r="H29" i="11"/>
  <c r="L29" i="11" s="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J9" i="11"/>
  <c r="H9" i="11"/>
  <c r="L9" i="11" s="1"/>
  <c r="J8" i="11"/>
  <c r="H8" i="11"/>
  <c r="L8" i="11" s="1"/>
  <c r="K3" i="11"/>
  <c r="I21" i="15" s="1"/>
  <c r="I3" i="11"/>
  <c r="G21" i="15" s="1"/>
  <c r="G7" i="11"/>
  <c r="G3" i="11" s="1"/>
  <c r="E21" i="15" s="1"/>
  <c r="H9" i="16"/>
  <c r="L9" i="16" s="1"/>
  <c r="H10" i="16"/>
  <c r="O10" i="16" s="1"/>
  <c r="O7" i="16" s="1"/>
  <c r="O3" i="16" s="1"/>
  <c r="M20" i="15" s="1"/>
  <c r="H11" i="16"/>
  <c r="H12" i="16"/>
  <c r="L12" i="16" s="1"/>
  <c r="H13" i="16"/>
  <c r="H14" i="16"/>
  <c r="L14" i="16" s="1"/>
  <c r="H15" i="16"/>
  <c r="H8" i="16"/>
  <c r="J15" i="16"/>
  <c r="L15" i="16"/>
  <c r="J14" i="16"/>
  <c r="J13" i="16"/>
  <c r="L13" i="16"/>
  <c r="J12" i="16"/>
  <c r="J11" i="16"/>
  <c r="L11" i="16"/>
  <c r="J10" i="16"/>
  <c r="J9" i="16"/>
  <c r="K7" i="16"/>
  <c r="K3" i="16" s="1"/>
  <c r="I20" i="15" s="1"/>
  <c r="I7" i="16"/>
  <c r="I3" i="16" s="1"/>
  <c r="G20" i="15" s="1"/>
  <c r="G7" i="16"/>
  <c r="G3" i="16" s="1"/>
  <c r="E20" i="15" s="1"/>
  <c r="F14" i="17"/>
  <c r="F19" i="17"/>
  <c r="F18" i="17" s="1"/>
  <c r="J20" i="17"/>
  <c r="J19" i="17" s="1"/>
  <c r="J18" i="17" s="1"/>
  <c r="J14" i="17" s="1"/>
  <c r="H20" i="17"/>
  <c r="H19" i="17" s="1"/>
  <c r="H18" i="17" s="1"/>
  <c r="H14" i="17" s="1"/>
  <c r="K19" i="17"/>
  <c r="I19" i="17"/>
  <c r="I18" i="17" s="1"/>
  <c r="I14" i="17" s="1"/>
  <c r="G19" i="17"/>
  <c r="G18" i="17" s="1"/>
  <c r="G14" i="17" s="1"/>
  <c r="K18" i="17"/>
  <c r="K14" i="17" s="1"/>
  <c r="J9" i="17"/>
  <c r="H9" i="17"/>
  <c r="H8" i="17" s="1"/>
  <c r="H7" i="17" s="1"/>
  <c r="H3" i="17" s="1"/>
  <c r="K8" i="17"/>
  <c r="K7" i="17" s="1"/>
  <c r="K3" i="17" s="1"/>
  <c r="J8" i="17"/>
  <c r="J7" i="17" s="1"/>
  <c r="J3" i="17" s="1"/>
  <c r="I8" i="17"/>
  <c r="G8" i="17"/>
  <c r="G7" i="17" s="1"/>
  <c r="G3" i="17" s="1"/>
  <c r="I7" i="17"/>
  <c r="I3" i="17" s="1"/>
  <c r="H22" i="18"/>
  <c r="H21" i="18"/>
  <c r="H19" i="18"/>
  <c r="H18" i="18"/>
  <c r="L18" i="18" s="1"/>
  <c r="H16" i="18"/>
  <c r="L16" i="18" s="1"/>
  <c r="L15" i="18" s="1"/>
  <c r="H13" i="18"/>
  <c r="L13" i="18" s="1"/>
  <c r="J21" i="18"/>
  <c r="J20" i="18" s="1"/>
  <c r="J19" i="18"/>
  <c r="H17" i="18"/>
  <c r="K17" i="18"/>
  <c r="G17" i="18"/>
  <c r="J16" i="18"/>
  <c r="J15" i="18" s="1"/>
  <c r="K15" i="18"/>
  <c r="I15" i="18"/>
  <c r="H15" i="18"/>
  <c r="G15" i="18"/>
  <c r="J13" i="18"/>
  <c r="J12" i="18" s="1"/>
  <c r="L11" i="18"/>
  <c r="J11" i="18"/>
  <c r="H11" i="18"/>
  <c r="L10" i="18"/>
  <c r="K10" i="18"/>
  <c r="K3" i="18" s="1"/>
  <c r="I9" i="15" s="1"/>
  <c r="J10" i="18"/>
  <c r="I10" i="18"/>
  <c r="H10" i="18"/>
  <c r="H7" i="18" s="1"/>
  <c r="G10" i="18"/>
  <c r="G7" i="18" s="1"/>
  <c r="G3" i="18" s="1"/>
  <c r="E9" i="15" s="1"/>
  <c r="J21" i="19"/>
  <c r="J20" i="19"/>
  <c r="H20" i="19"/>
  <c r="J19" i="19"/>
  <c r="H19" i="19"/>
  <c r="L19" i="19" s="1"/>
  <c r="J18" i="19"/>
  <c r="J17" i="19"/>
  <c r="H17" i="19"/>
  <c r="L17" i="19" s="1"/>
  <c r="J16" i="19"/>
  <c r="H16" i="19"/>
  <c r="L16" i="19" s="1"/>
  <c r="J15" i="19"/>
  <c r="H15" i="19"/>
  <c r="L15" i="19" s="1"/>
  <c r="J14" i="19"/>
  <c r="J11" i="19"/>
  <c r="H11" i="19"/>
  <c r="L11" i="19" s="1"/>
  <c r="G3" i="19"/>
  <c r="E8" i="15" s="1"/>
  <c r="L8" i="19"/>
  <c r="H8" i="19"/>
  <c r="L20" i="19" l="1"/>
  <c r="L30" i="20"/>
  <c r="L27" i="20" s="1"/>
  <c r="O30" i="20"/>
  <c r="O27" i="20" s="1"/>
  <c r="O23" i="20" s="1"/>
  <c r="M24" i="15" s="1"/>
  <c r="H27" i="20"/>
  <c r="H23" i="20" s="1"/>
  <c r="F24" i="15" s="1"/>
  <c r="L23" i="11"/>
  <c r="L3" i="11" s="1"/>
  <c r="J21" i="15" s="1"/>
  <c r="O23" i="11"/>
  <c r="J9" i="19"/>
  <c r="J3" i="19" s="1"/>
  <c r="H8" i="15" s="1"/>
  <c r="L17" i="20"/>
  <c r="L13" i="20" s="1"/>
  <c r="J23" i="15" s="1"/>
  <c r="L23" i="20"/>
  <c r="J24" i="15" s="1"/>
  <c r="J23" i="20"/>
  <c r="H24" i="15" s="1"/>
  <c r="J7" i="20"/>
  <c r="J3" i="20" s="1"/>
  <c r="H22" i="15" s="1"/>
  <c r="L8" i="20"/>
  <c r="L7" i="20" s="1"/>
  <c r="L3" i="20" s="1"/>
  <c r="J22" i="15" s="1"/>
  <c r="J3" i="11"/>
  <c r="H21" i="15" s="1"/>
  <c r="H7" i="11"/>
  <c r="H3" i="11" s="1"/>
  <c r="F21" i="15" s="1"/>
  <c r="J7" i="16"/>
  <c r="J3" i="16" s="1"/>
  <c r="H20" i="15" s="1"/>
  <c r="H7" i="16"/>
  <c r="L10" i="16"/>
  <c r="L20" i="17"/>
  <c r="L19" i="17" s="1"/>
  <c r="L18" i="17" s="1"/>
  <c r="L14" i="17" s="1"/>
  <c r="L9" i="17"/>
  <c r="L8" i="17" s="1"/>
  <c r="L7" i="17" s="1"/>
  <c r="L3" i="17" s="1"/>
  <c r="H3" i="18"/>
  <c r="F9" i="15" s="1"/>
  <c r="L19" i="18"/>
  <c r="L17" i="18" s="1"/>
  <c r="J18" i="18"/>
  <c r="J17" i="18" s="1"/>
  <c r="J7" i="18" s="1"/>
  <c r="J3" i="18" s="1"/>
  <c r="H9" i="15" s="1"/>
  <c r="N3" i="18"/>
  <c r="L9" i="15" s="1"/>
  <c r="L13" i="15" s="1"/>
  <c r="L29" i="15" s="1"/>
  <c r="L37" i="15" s="1"/>
  <c r="K3" i="19"/>
  <c r="I8" i="15" s="1"/>
  <c r="I13" i="15" s="1"/>
  <c r="E26" i="15"/>
  <c r="G26" i="15"/>
  <c r="I26" i="15"/>
  <c r="F31" i="20"/>
  <c r="F30" i="20"/>
  <c r="F29" i="20"/>
  <c r="O7" i="11" l="1"/>
  <c r="O3" i="11" s="1"/>
  <c r="M21" i="15" s="1"/>
  <c r="M26" i="15" s="1"/>
  <c r="I7" i="18"/>
  <c r="I3" i="18" s="1"/>
  <c r="G9" i="15" s="1"/>
  <c r="G13" i="15" s="1"/>
  <c r="G29" i="15" s="1"/>
  <c r="L7" i="18"/>
  <c r="L3" i="18" s="1"/>
  <c r="J9" i="15" s="1"/>
  <c r="H13" i="15"/>
  <c r="I29" i="15"/>
  <c r="H26" i="15"/>
  <c r="F23" i="20"/>
  <c r="F9" i="20"/>
  <c r="F8" i="20"/>
  <c r="F29" i="11"/>
  <c r="F28" i="11"/>
  <c r="F26" i="11"/>
  <c r="F24" i="11"/>
  <c r="F23" i="11"/>
  <c r="F22" i="11"/>
  <c r="F21" i="11"/>
  <c r="F19" i="11"/>
  <c r="F17" i="11"/>
  <c r="F16" i="11"/>
  <c r="F15" i="11"/>
  <c r="F14" i="11"/>
  <c r="F13" i="11"/>
  <c r="F7" i="11" s="1"/>
  <c r="F11" i="11"/>
  <c r="F15" i="16"/>
  <c r="F14" i="16"/>
  <c r="F13" i="16"/>
  <c r="F12" i="16"/>
  <c r="F10" i="16"/>
  <c r="F9" i="16"/>
  <c r="F10" i="19"/>
  <c r="H10" i="19" s="1"/>
  <c r="O10" i="19" s="1"/>
  <c r="F21" i="19"/>
  <c r="H21" i="19" s="1"/>
  <c r="L21" i="19" l="1"/>
  <c r="O21" i="19"/>
  <c r="H29" i="15"/>
  <c r="L10" i="19"/>
  <c r="F18" i="19"/>
  <c r="H18" i="19" s="1"/>
  <c r="L18" i="19" s="1"/>
  <c r="O9" i="19" l="1"/>
  <c r="O7" i="19" s="1"/>
  <c r="O3" i="19" s="1"/>
  <c r="D10" i="15"/>
  <c r="F3" i="18"/>
  <c r="D9" i="15" s="1"/>
  <c r="F22" i="18"/>
  <c r="F19" i="18"/>
  <c r="F14" i="19"/>
  <c r="D24" i="15"/>
  <c r="F17" i="18"/>
  <c r="F7" i="16"/>
  <c r="F7" i="20"/>
  <c r="F3" i="20" s="1"/>
  <c r="D22" i="15" s="1"/>
  <c r="F3" i="11"/>
  <c r="D21" i="15" s="1"/>
  <c r="F8" i="17"/>
  <c r="F15" i="18"/>
  <c r="F10" i="18"/>
  <c r="F7" i="17"/>
  <c r="F3" i="17"/>
  <c r="M8" i="15" l="1"/>
  <c r="M13" i="15" s="1"/>
  <c r="M29" i="15" s="1"/>
  <c r="F3" i="19"/>
  <c r="D8" i="15" s="1"/>
  <c r="D13" i="15" s="1"/>
  <c r="H14" i="19"/>
  <c r="H9" i="19" s="1"/>
  <c r="H7" i="19" s="1"/>
  <c r="F3" i="16"/>
  <c r="D20" i="15" s="1"/>
  <c r="D26" i="15"/>
  <c r="L14" i="19" l="1"/>
  <c r="H3" i="19"/>
  <c r="F8" i="15" s="1"/>
  <c r="F13" i="15" s="1"/>
  <c r="L7" i="16"/>
  <c r="L3" i="16" s="1"/>
  <c r="J20" i="15" s="1"/>
  <c r="J26" i="15" s="1"/>
  <c r="H3" i="16"/>
  <c r="F20" i="15" s="1"/>
  <c r="F26" i="15" s="1"/>
  <c r="F29" i="15" l="1"/>
  <c r="L9" i="19"/>
  <c r="E13" i="15"/>
  <c r="E29" i="15" s="1"/>
  <c r="L7" i="19" l="1"/>
  <c r="L3" i="19" s="1"/>
  <c r="J8" i="15" s="1"/>
  <c r="J13" i="15" s="1"/>
  <c r="J29" i="15" s="1"/>
</calcChain>
</file>

<file path=xl/comments1.xml><?xml version="1.0" encoding="utf-8"?>
<comments xmlns="http://schemas.openxmlformats.org/spreadsheetml/2006/main">
  <authors>
    <author>Juan Carlos Migoya Martínez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</rPr>
          <t>Juan Carlos Migoya Martínez:</t>
        </r>
        <r>
          <rPr>
            <sz val="9"/>
            <color indexed="81"/>
            <rFont val="Tahoma"/>
            <family val="2"/>
          </rPr>
          <t xml:space="preserve">
Modificació de crèdit pendent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Juan Carlos Migoya Martínez:</t>
        </r>
        <r>
          <rPr>
            <sz val="9"/>
            <color indexed="81"/>
            <rFont val="Tahoma"/>
            <family val="2"/>
          </rPr>
          <t xml:space="preserve">
Modificació de crèdit pendent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Juan Carlos Migoya Martínez:</t>
        </r>
        <r>
          <rPr>
            <sz val="9"/>
            <color indexed="81"/>
            <rFont val="Tahoma"/>
            <family val="2"/>
          </rPr>
          <t xml:space="preserve">
Modificació de crèdit pendent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>Juan Carlos Migoya Martínez:</t>
        </r>
        <r>
          <rPr>
            <sz val="9"/>
            <color indexed="81"/>
            <rFont val="Tahoma"/>
            <family val="2"/>
          </rPr>
          <t xml:space="preserve">
Modificació de crèdit pendent</t>
        </r>
      </text>
    </comment>
  </commentList>
</comments>
</file>

<file path=xl/comments2.xml><?xml version="1.0" encoding="utf-8"?>
<comments xmlns="http://schemas.openxmlformats.org/spreadsheetml/2006/main">
  <authors>
    <author>Juan Carlos Migoya Martínez</author>
  </authors>
  <commentList>
    <comment ref="O19" authorId="0" shapeId="0">
      <text>
        <r>
          <rPr>
            <b/>
            <sz val="9"/>
            <color indexed="81"/>
            <rFont val="Tahoma"/>
            <family val="2"/>
          </rPr>
          <t>Juan Carlos Migoya Martínez:</t>
        </r>
        <r>
          <rPr>
            <sz val="9"/>
            <color indexed="81"/>
            <rFont val="Tahoma"/>
            <family val="2"/>
          </rPr>
          <t xml:space="preserve">
Va caure l'ECURB 2019</t>
        </r>
      </text>
    </comment>
    <comment ref="O22" authorId="0" shapeId="0">
      <text>
        <r>
          <rPr>
            <b/>
            <sz val="9"/>
            <color indexed="81"/>
            <rFont val="Tahoma"/>
            <family val="2"/>
          </rPr>
          <t>Juan Carlos Migoya Martínez:</t>
        </r>
        <r>
          <rPr>
            <sz val="9"/>
            <color indexed="81"/>
            <rFont val="Tahoma"/>
            <family val="2"/>
          </rPr>
          <t xml:space="preserve">
Va caure l'ECURB 2019</t>
        </r>
      </text>
    </comment>
  </commentList>
</comments>
</file>

<file path=xl/comments3.xml><?xml version="1.0" encoding="utf-8"?>
<comments xmlns="http://schemas.openxmlformats.org/spreadsheetml/2006/main">
  <authors>
    <author>Anna Romero Valle</author>
  </authors>
  <commentList>
    <comment ref="M8" authorId="0" shapeId="0">
      <text>
        <r>
          <rPr>
            <b/>
            <sz val="9"/>
            <color indexed="81"/>
            <rFont val="Tahoma"/>
            <family val="2"/>
          </rPr>
          <t>Anna Romero Valle:</t>
        </r>
        <r>
          <rPr>
            <sz val="9"/>
            <color indexed="81"/>
            <rFont val="Tahoma"/>
            <family val="2"/>
          </rPr>
          <t xml:space="preserve">
Edifici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Anna Romero Valle:</t>
        </r>
        <r>
          <rPr>
            <sz val="9"/>
            <color indexed="81"/>
            <rFont val="Tahoma"/>
            <family val="2"/>
          </rPr>
          <t xml:space="preserve">
Lloguer font aigua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</rPr>
          <t>Anna Romero Valle:</t>
        </r>
        <r>
          <rPr>
            <sz val="9"/>
            <color indexed="81"/>
            <rFont val="Tahoma"/>
            <family val="2"/>
          </rPr>
          <t xml:space="preserve">
Roseta </t>
        </r>
      </text>
    </comment>
    <comment ref="M22" authorId="0" shapeId="0">
      <text>
        <r>
          <rPr>
            <b/>
            <sz val="9"/>
            <color indexed="81"/>
            <rFont val="Tahoma"/>
            <family val="2"/>
          </rPr>
          <t>Anna Romero Valle:</t>
        </r>
        <r>
          <rPr>
            <sz val="9"/>
            <color indexed="81"/>
            <rFont val="Tahoma"/>
            <family val="2"/>
          </rPr>
          <t xml:space="preserve">
AD fins 30/09
- 5000 € Egarsat (rev. Mèdiques)
-7920 € / 4000 € Beques Master </t>
        </r>
      </text>
    </comment>
    <comment ref="M23" authorId="0" shapeId="0">
      <text>
        <r>
          <rPr>
            <b/>
            <sz val="9"/>
            <color indexed="81"/>
            <rFont val="Tahoma"/>
            <family val="2"/>
          </rPr>
          <t>Anna Romero Valle:</t>
        </r>
        <r>
          <rPr>
            <sz val="9"/>
            <color indexed="81"/>
            <rFont val="Tahoma"/>
            <family val="2"/>
          </rPr>
          <t xml:space="preserve">
SSarasa</t>
        </r>
      </text>
    </comment>
  </commentList>
</comments>
</file>

<file path=xl/comments4.xml><?xml version="1.0" encoding="utf-8"?>
<comments xmlns="http://schemas.openxmlformats.org/spreadsheetml/2006/main">
  <authors>
    <author>Anna Romero Valle</author>
  </authors>
  <commentList>
    <comment ref="M30" authorId="0" shapeId="0">
      <text>
        <r>
          <rPr>
            <b/>
            <sz val="9"/>
            <color indexed="81"/>
            <rFont val="Tahoma"/>
            <charset val="1"/>
          </rPr>
          <t>Anna Romero Valle:</t>
        </r>
        <r>
          <rPr>
            <sz val="9"/>
            <color indexed="81"/>
            <rFont val="Tahoma"/>
            <charset val="1"/>
          </rPr>
          <t xml:space="preserve">
Para comprovar con Jordi todo lo que hay pendiente</t>
        </r>
      </text>
    </comment>
  </commentList>
</comments>
</file>

<file path=xl/sharedStrings.xml><?xml version="1.0" encoding="utf-8"?>
<sst xmlns="http://schemas.openxmlformats.org/spreadsheetml/2006/main" count="340" uniqueCount="180">
  <si>
    <t>Diputació de Barcelona</t>
  </si>
  <si>
    <t>Àrea Metropolitana de Barcelona</t>
  </si>
  <si>
    <t>Seguretat Social</t>
  </si>
  <si>
    <t>Descripció</t>
  </si>
  <si>
    <t>Venda de publicacions</t>
  </si>
  <si>
    <t>Departament d'Empresa i Ocupació (Gencat)</t>
  </si>
  <si>
    <t>Ajuntament de Barcelona</t>
  </si>
  <si>
    <t>Universitat Autònoma de Barcelona</t>
  </si>
  <si>
    <t>Personal fix. Retribucions bàsiques</t>
  </si>
  <si>
    <t>Despeses postals, missatgeria i altres similars</t>
  </si>
  <si>
    <t>22201</t>
  </si>
  <si>
    <t>13000</t>
  </si>
  <si>
    <t>16000</t>
  </si>
  <si>
    <t>16200</t>
  </si>
  <si>
    <t>Formació i perfeccionament</t>
  </si>
  <si>
    <t>Arrendaments de maquinaria, instal·lacions i utillatge</t>
  </si>
  <si>
    <t>20200</t>
  </si>
  <si>
    <t>20300</t>
  </si>
  <si>
    <t>22002</t>
  </si>
  <si>
    <t>Material informàtic no inventariable</t>
  </si>
  <si>
    <t>Material oficina ordinari no inventariable</t>
  </si>
  <si>
    <t>22000</t>
  </si>
  <si>
    <t>22400</t>
  </si>
  <si>
    <t>22603</t>
  </si>
  <si>
    <t>22706</t>
  </si>
  <si>
    <t>Dietes personal directiu</t>
  </si>
  <si>
    <t>Dietes personal no directiu</t>
  </si>
  <si>
    <t>22799</t>
  </si>
  <si>
    <t>24000</t>
  </si>
  <si>
    <t>Locomoció personal directiu</t>
  </si>
  <si>
    <t>Locomoció personal no directiu</t>
  </si>
  <si>
    <t>22602</t>
  </si>
  <si>
    <t>Publicitat - serveis web/intranet</t>
  </si>
  <si>
    <t>23110</t>
  </si>
  <si>
    <t>23120</t>
  </si>
  <si>
    <t>23010</t>
  </si>
  <si>
    <t>23020</t>
  </si>
  <si>
    <t>22200</t>
  </si>
  <si>
    <t>Reunions, conferències i cursos</t>
  </si>
  <si>
    <t>22606</t>
  </si>
  <si>
    <t>63500</t>
  </si>
  <si>
    <t>63600</t>
  </si>
  <si>
    <t>63900</t>
  </si>
  <si>
    <t>64100</t>
  </si>
  <si>
    <t>PREVISIÓ ESTAT D'INGRESSOS:</t>
  </si>
  <si>
    <t xml:space="preserve">CAPÍTOL 2: Despeses corrents de béns i serveis </t>
  </si>
  <si>
    <t xml:space="preserve">CAPÍTOL 3: Despeses financeres </t>
  </si>
  <si>
    <t xml:space="preserve">Capítol  </t>
  </si>
  <si>
    <t>ATM</t>
  </si>
  <si>
    <t xml:space="preserve">Aportació Institucional </t>
  </si>
  <si>
    <t>Aportació Institucional</t>
  </si>
  <si>
    <t>22699</t>
  </si>
  <si>
    <t>Altres despeses diverses</t>
  </si>
  <si>
    <t>10100</t>
  </si>
  <si>
    <t>Alts càrrecs. Retribucions bàsiques</t>
  </si>
  <si>
    <t xml:space="preserve">Transferències corrents </t>
  </si>
  <si>
    <t>Ingressos patrimonials</t>
  </si>
  <si>
    <t>TOTAL PREVISIÓ ESTAT D'INGRESSOS</t>
  </si>
  <si>
    <t>Despeses corrents de béns i serveis</t>
  </si>
  <si>
    <t>Despeses financeres</t>
  </si>
  <si>
    <t>Inversions reals</t>
  </si>
  <si>
    <t>TOTAL PREVISIÓ ESTAT DE DESPESES</t>
  </si>
  <si>
    <t>Capítol  /  Concepte</t>
  </si>
  <si>
    <t>CAPÍTOL 5: Ingressos patrimonials</t>
  </si>
  <si>
    <t>Programa</t>
  </si>
  <si>
    <t>Capítol / concepte</t>
  </si>
  <si>
    <t>Investigació</t>
  </si>
  <si>
    <t>Innovació</t>
  </si>
  <si>
    <t>31000</t>
  </si>
  <si>
    <t>Altres despeses financeres</t>
  </si>
  <si>
    <t>Altres remuneracions. Indemnitzacions</t>
  </si>
  <si>
    <t>Enquesta de Mobilitat en dia Feiner (EMEF)</t>
  </si>
  <si>
    <t>13100</t>
  </si>
  <si>
    <t>Personal temporal. Retribucions bàsiques</t>
  </si>
  <si>
    <t>13101</t>
  </si>
  <si>
    <t>16209</t>
  </si>
  <si>
    <t>Despeses socials</t>
  </si>
  <si>
    <t>Altres estudis o activitats</t>
  </si>
  <si>
    <t>Varis</t>
  </si>
  <si>
    <t>22001</t>
  </si>
  <si>
    <t>Premsa, revistes, llibres i altres publicacions</t>
  </si>
  <si>
    <t>Global Entrepreneurship Monitor Catalunya</t>
  </si>
  <si>
    <t xml:space="preserve">Pressupost </t>
  </si>
  <si>
    <t>Pressupost</t>
  </si>
  <si>
    <t>Desenvolupament</t>
  </si>
  <si>
    <t xml:space="preserve">   Descripció</t>
  </si>
  <si>
    <t>Taxes, preus públics i altres ingressos</t>
  </si>
  <si>
    <t>Despeses de Personal</t>
  </si>
  <si>
    <t>Altres ingressos diversos</t>
  </si>
  <si>
    <t>Interessos de dipòsits</t>
  </si>
  <si>
    <t>Despeses corrents en béns i serveis</t>
  </si>
  <si>
    <t>Arrendaments d'edificis i altres construccions</t>
  </si>
  <si>
    <t>Servei de telecomunicacions</t>
  </si>
  <si>
    <t>Primes d'assegurances</t>
  </si>
  <si>
    <t>Publicació en diaris oficials</t>
  </si>
  <si>
    <t>Interessos de préstecs d'ens de fora del Sector Públic</t>
  </si>
  <si>
    <t xml:space="preserve">Mobiliari </t>
  </si>
  <si>
    <t>Equips per a processos d'informació</t>
  </si>
  <si>
    <t>Altre immobilitzat material</t>
  </si>
  <si>
    <t>Aplicacions informàtiques</t>
  </si>
  <si>
    <t xml:space="preserve">CAPÍTOL 6: Inversions reals </t>
  </si>
  <si>
    <t>CAPÍTOL 1: Despeses de personal</t>
  </si>
  <si>
    <t xml:space="preserve">CAPÍTOL 4: Transferències corrents </t>
  </si>
  <si>
    <t>CAPÍTOL 3: Taxes, preus públics i altres ingressos</t>
  </si>
  <si>
    <t xml:space="preserve">Contracte Programa </t>
  </si>
  <si>
    <t>Ajuntament BCN</t>
  </si>
  <si>
    <t>Contracte Programa Àrea Drets Socials</t>
  </si>
  <si>
    <t>14300</t>
  </si>
  <si>
    <t>Sous personal eventual (en pràctiques)</t>
  </si>
  <si>
    <t>21300</t>
  </si>
  <si>
    <t>Reparacions, manteniment i conservació. Maquinària, instal·lacions</t>
  </si>
  <si>
    <t>Sinèrgia Energia i Territori</t>
  </si>
  <si>
    <t>Universitat de Barcelona</t>
  </si>
  <si>
    <t>Ajuntament Hospitalet de Llobregat</t>
  </si>
  <si>
    <t>Explotació mostra municipal EVAMB 2020</t>
  </si>
  <si>
    <t>Explotació mostra municipal ECAMB 2020</t>
  </si>
  <si>
    <t>Ajuntament El Prat de Llobregat</t>
  </si>
  <si>
    <t>Contracte Programa Direcció Serveis de Prevenció</t>
  </si>
  <si>
    <t>Estudis i treballs tècnics</t>
  </si>
  <si>
    <t>Treballs realitzats per persones físiques o jurídiques</t>
  </si>
  <si>
    <t>Despeses de publicacions</t>
  </si>
  <si>
    <t>AMB</t>
  </si>
  <si>
    <t>Ajuntament BCN (IMHAB)</t>
  </si>
  <si>
    <t>Xifres habitatge</t>
  </si>
  <si>
    <t>* Aquesta encomana de gestió vehicula les aportacions de la pròpia AMB (25%), de la Diputació de BCN (25%) i de la Generalitat de Catalunya (25%)</t>
  </si>
  <si>
    <t>21600</t>
  </si>
  <si>
    <t>Reparacions, manteniment i conservació. Equips per a processos d'informació</t>
  </si>
  <si>
    <t>63300</t>
  </si>
  <si>
    <t>Maquinaria, instal·lacions tècniques i utillatge</t>
  </si>
  <si>
    <t>Encomana de gestió Pla de Treball OHB 2020 (75%)*</t>
  </si>
  <si>
    <t>Encomana de gestió Pla de Treball OHB 2020 (25%)</t>
  </si>
  <si>
    <t>PREVISIÓ ESTAT DE DESPESES: Programa: 462</t>
  </si>
  <si>
    <t>Modificació crèdit</t>
  </si>
  <si>
    <t>Pressupost              actual</t>
  </si>
  <si>
    <t>Deutors</t>
  </si>
  <si>
    <t>Ingressos (cobrat)</t>
  </si>
  <si>
    <t>Saldo</t>
  </si>
  <si>
    <t>Creditors</t>
  </si>
  <si>
    <t>Depeses (pagat)</t>
  </si>
  <si>
    <t>Actius financers</t>
  </si>
  <si>
    <t>Transferències corrents</t>
  </si>
  <si>
    <t>Saldos…</t>
  </si>
  <si>
    <t>CAPÍTOL 8: Actius Financers</t>
  </si>
  <si>
    <t>Actius Financers</t>
  </si>
  <si>
    <t>Romanent de Tresoreria amb despesa afectada</t>
  </si>
  <si>
    <t>CAPÍTOL 4: Transferències corrents</t>
  </si>
  <si>
    <t>46700</t>
  </si>
  <si>
    <t>A Consorcis</t>
  </si>
  <si>
    <t>Altres ingressos diversos IIAB</t>
  </si>
  <si>
    <t>Altres ingressos diversos OHB</t>
  </si>
  <si>
    <t>20600</t>
  </si>
  <si>
    <t>Arrendaments d'equips per a processos d'informació</t>
  </si>
  <si>
    <t>Altres transferències corrents de l'Administració General</t>
  </si>
  <si>
    <t xml:space="preserve">Bio-Landscape </t>
  </si>
  <si>
    <t>- ECV 2019</t>
  </si>
  <si>
    <t xml:space="preserve">   </t>
  </si>
  <si>
    <t>Previsió ingressos 31/12</t>
  </si>
  <si>
    <t>Estat execució</t>
  </si>
  <si>
    <t>Previsió despeses 31/12</t>
  </si>
  <si>
    <t>DFN 2019</t>
  </si>
  <si>
    <t>SALDO AJUSTAT</t>
  </si>
  <si>
    <t>Obligacions reconegudes 31/12/20</t>
  </si>
  <si>
    <t>Drets reconeguts 31/12/20</t>
  </si>
  <si>
    <t>Drets reconeguts 30/09/2020</t>
  </si>
  <si>
    <t>Obligacions reconegudes 30/09/2020</t>
  </si>
  <si>
    <t>RC 2020 _ 2021</t>
  </si>
  <si>
    <t>DFP 2019</t>
  </si>
  <si>
    <t>DFN 2020</t>
  </si>
  <si>
    <t>EGETECO</t>
  </si>
  <si>
    <t>??</t>
  </si>
  <si>
    <t>No executat</t>
  </si>
  <si>
    <t>Encomana de gestió Suport PMMU</t>
  </si>
  <si>
    <t>Encomana de gestió EAU-AMB 2020</t>
  </si>
  <si>
    <t>Si una part no arriba a temps: DFN</t>
  </si>
  <si>
    <t>Si no arriba a temps: DFN</t>
  </si>
  <si>
    <t>Getxo+Pla Besòs</t>
  </si>
  <si>
    <t>Pla Joc</t>
  </si>
  <si>
    <t>Projecció JC</t>
  </si>
  <si>
    <t>CPAjBCN (30000)+EGPMMU (80000)+PECerd (40000)+AEst (10000)+CPAMB (60000)+IIAB (80000)</t>
  </si>
  <si>
    <t>SEGUIMENT PRESSUPOST IERMB 2020                                                                              30/09/2020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</si>
</sst>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.00;\-#,###,##0.00;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89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Fill="1"/>
    <xf numFmtId="0" fontId="1" fillId="0" borderId="0" xfId="0" applyFont="1" applyFill="1"/>
    <xf numFmtId="0" fontId="0" fillId="0" borderId="0" xfId="0" applyBorder="1"/>
    <xf numFmtId="1" fontId="0" fillId="0" borderId="0" xfId="0" applyNumberFormat="1" applyFill="1" applyAlignment="1">
      <alignment horizontal="right"/>
    </xf>
    <xf numFmtId="4" fontId="2" fillId="0" borderId="0" xfId="0" applyNumberFormat="1" applyFont="1" applyAlignment="1">
      <alignment horizontal="left"/>
    </xf>
    <xf numFmtId="49" fontId="0" fillId="0" borderId="2" xfId="0" applyNumberFormat="1" applyBorder="1" applyAlignment="1">
      <alignment horizontal="right"/>
    </xf>
    <xf numFmtId="0" fontId="0" fillId="0" borderId="2" xfId="0" applyFont="1" applyBorder="1"/>
    <xf numFmtId="0" fontId="0" fillId="0" borderId="2" xfId="0" applyBorder="1"/>
    <xf numFmtId="0" fontId="5" fillId="0" borderId="2" xfId="0" applyFont="1" applyBorder="1"/>
    <xf numFmtId="0" fontId="0" fillId="0" borderId="0" xfId="0" applyFill="1" applyAlignment="1">
      <alignment horizontal="right"/>
    </xf>
    <xf numFmtId="4" fontId="5" fillId="0" borderId="2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6" xfId="0" applyFont="1" applyBorder="1"/>
    <xf numFmtId="4" fontId="3" fillId="0" borderId="6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0" fontId="8" fillId="0" borderId="0" xfId="0" applyFont="1"/>
    <xf numFmtId="4" fontId="0" fillId="0" borderId="2" xfId="0" applyNumberFormat="1" applyBorder="1"/>
    <xf numFmtId="0" fontId="0" fillId="0" borderId="2" xfId="0" applyFont="1" applyFill="1" applyBorder="1"/>
    <xf numFmtId="0" fontId="5" fillId="0" borderId="2" xfId="0" applyFont="1" applyFill="1" applyBorder="1"/>
    <xf numFmtId="0" fontId="10" fillId="0" borderId="0" xfId="0" applyFont="1" applyFill="1" applyBorder="1"/>
    <xf numFmtId="0" fontId="0" fillId="0" borderId="2" xfId="0" applyFill="1" applyBorder="1"/>
    <xf numFmtId="4" fontId="11" fillId="0" borderId="6" xfId="0" applyNumberFormat="1" applyFont="1" applyBorder="1"/>
    <xf numFmtId="0" fontId="0" fillId="0" borderId="0" xfId="0" applyFont="1"/>
    <xf numFmtId="4" fontId="0" fillId="0" borderId="0" xfId="0" applyNumberFormat="1"/>
    <xf numFmtId="0" fontId="4" fillId="0" borderId="0" xfId="0" applyFont="1" applyFill="1"/>
    <xf numFmtId="4" fontId="1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0" borderId="0" xfId="0" applyFont="1"/>
    <xf numFmtId="0" fontId="1" fillId="0" borderId="0" xfId="0" applyFont="1" applyAlignment="1">
      <alignment vertical="center" wrapText="1"/>
    </xf>
    <xf numFmtId="1" fontId="0" fillId="0" borderId="8" xfId="0" quotePrefix="1" applyNumberFormat="1" applyFont="1" applyFill="1" applyBorder="1" applyAlignment="1">
      <alignment horizontal="center"/>
    </xf>
    <xf numFmtId="0" fontId="0" fillId="0" borderId="8" xfId="0" applyFont="1" applyFill="1" applyBorder="1"/>
    <xf numFmtId="4" fontId="0" fillId="0" borderId="12" xfId="0" applyNumberFormat="1" applyFont="1" applyFill="1" applyBorder="1"/>
    <xf numFmtId="0" fontId="0" fillId="0" borderId="8" xfId="0" applyFill="1" applyBorder="1"/>
    <xf numFmtId="3" fontId="13" fillId="3" borderId="8" xfId="0" applyNumberFormat="1" applyFont="1" applyFill="1" applyBorder="1" applyAlignment="1">
      <alignment horizontal="left"/>
    </xf>
    <xf numFmtId="0" fontId="17" fillId="3" borderId="8" xfId="0" applyFont="1" applyFill="1" applyBorder="1"/>
    <xf numFmtId="4" fontId="13" fillId="3" borderId="8" xfId="0" applyNumberFormat="1" applyFont="1" applyFill="1" applyBorder="1"/>
    <xf numFmtId="0" fontId="17" fillId="0" borderId="0" xfId="0" applyFont="1"/>
    <xf numFmtId="3" fontId="3" fillId="0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4" fillId="0" borderId="0" xfId="0" applyFont="1" applyFill="1"/>
    <xf numFmtId="0" fontId="8" fillId="2" borderId="3" xfId="0" applyFont="1" applyFill="1" applyBorder="1"/>
    <xf numFmtId="0" fontId="8" fillId="2" borderId="5" xfId="0" applyFont="1" applyFill="1" applyBorder="1"/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/>
    <xf numFmtId="4" fontId="2" fillId="3" borderId="13" xfId="0" applyNumberFormat="1" applyFont="1" applyFill="1" applyBorder="1" applyAlignment="1">
      <alignment horizontal="left"/>
    </xf>
    <xf numFmtId="4" fontId="1" fillId="3" borderId="13" xfId="0" applyNumberFormat="1" applyFont="1" applyFill="1" applyBorder="1"/>
    <xf numFmtId="0" fontId="1" fillId="0" borderId="14" xfId="0" applyFont="1" applyBorder="1"/>
    <xf numFmtId="4" fontId="3" fillId="0" borderId="14" xfId="0" applyNumberFormat="1" applyFont="1" applyBorder="1" applyAlignment="1">
      <alignment horizontal="left"/>
    </xf>
    <xf numFmtId="4" fontId="1" fillId="0" borderId="14" xfId="0" applyNumberFormat="1" applyFont="1" applyBorder="1"/>
    <xf numFmtId="4" fontId="2" fillId="0" borderId="1" xfId="0" applyNumberFormat="1" applyFont="1" applyFill="1" applyBorder="1" applyAlignment="1">
      <alignment horizontal="left"/>
    </xf>
    <xf numFmtId="4" fontId="1" fillId="0" borderId="0" xfId="0" applyNumberFormat="1" applyFont="1" applyAlignment="1">
      <alignment vertical="center" wrapText="1"/>
    </xf>
    <xf numFmtId="0" fontId="9" fillId="2" borderId="5" xfId="0" applyFont="1" applyFill="1" applyBorder="1"/>
    <xf numFmtId="0" fontId="9" fillId="0" borderId="0" xfId="0" applyFont="1"/>
    <xf numFmtId="0" fontId="1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16" fillId="3" borderId="13" xfId="0" applyNumberFormat="1" applyFont="1" applyFill="1" applyBorder="1" applyAlignment="1">
      <alignment horizontal="right"/>
    </xf>
    <xf numFmtId="0" fontId="10" fillId="0" borderId="0" xfId="0" applyFont="1" applyFill="1"/>
    <xf numFmtId="49" fontId="1" fillId="3" borderId="13" xfId="0" applyNumberFormat="1" applyFont="1" applyFill="1" applyBorder="1" applyAlignment="1">
      <alignment horizontal="left"/>
    </xf>
    <xf numFmtId="4" fontId="0" fillId="0" borderId="2" xfId="0" applyNumberFormat="1" applyFont="1" applyBorder="1"/>
    <xf numFmtId="0" fontId="5" fillId="0" borderId="0" xfId="0" applyFont="1" applyFill="1"/>
    <xf numFmtId="49" fontId="0" fillId="0" borderId="0" xfId="0" applyNumberFormat="1" applyBorder="1" applyAlignment="1">
      <alignment horizontal="right"/>
    </xf>
    <xf numFmtId="0" fontId="1" fillId="0" borderId="0" xfId="0" applyFont="1" applyBorder="1"/>
    <xf numFmtId="49" fontId="0" fillId="0" borderId="10" xfId="0" applyNumberFormat="1" applyBorder="1" applyAlignment="1">
      <alignment horizontal="right"/>
    </xf>
    <xf numFmtId="0" fontId="2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/>
    </xf>
    <xf numFmtId="4" fontId="6" fillId="0" borderId="2" xfId="0" applyNumberFormat="1" applyFont="1" applyFill="1" applyBorder="1" applyAlignment="1">
      <alignment horizontal="left"/>
    </xf>
    <xf numFmtId="0" fontId="0" fillId="0" borderId="0" xfId="0" applyFill="1" applyBorder="1"/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/>
    </xf>
    <xf numFmtId="4" fontId="1" fillId="0" borderId="9" xfId="0" applyNumberFormat="1" applyFont="1" applyBorder="1" applyAlignment="1">
      <alignment horizontal="right" vertical="center" wrapText="1"/>
    </xf>
    <xf numFmtId="1" fontId="1" fillId="0" borderId="14" xfId="0" quotePrefix="1" applyNumberFormat="1" applyFont="1" applyFill="1" applyBorder="1" applyAlignment="1">
      <alignment horizontal="center"/>
    </xf>
    <xf numFmtId="1" fontId="1" fillId="0" borderId="0" xfId="0" quotePrefix="1" applyNumberFormat="1" applyFont="1" applyFill="1" applyBorder="1" applyAlignment="1">
      <alignment horizontal="center"/>
    </xf>
    <xf numFmtId="1" fontId="11" fillId="0" borderId="0" xfId="0" quotePrefix="1" applyNumberFormat="1" applyFont="1" applyFill="1" applyBorder="1" applyAlignment="1">
      <alignment horizontal="center"/>
    </xf>
    <xf numFmtId="1" fontId="1" fillId="0" borderId="6" xfId="0" quotePrefix="1" applyNumberFormat="1" applyFont="1" applyFill="1" applyBorder="1" applyAlignment="1">
      <alignment horizontal="center"/>
    </xf>
    <xf numFmtId="0" fontId="1" fillId="0" borderId="5" xfId="0" applyFont="1" applyBorder="1" applyAlignment="1">
      <alignment vertical="center"/>
    </xf>
    <xf numFmtId="1" fontId="1" fillId="0" borderId="6" xfId="0" applyNumberFormat="1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quotePrefix="1" applyNumberFormat="1" applyFill="1" applyAlignment="1">
      <alignment horizontal="center"/>
    </xf>
    <xf numFmtId="4" fontId="8" fillId="2" borderId="4" xfId="0" applyNumberFormat="1" applyFont="1" applyFill="1" applyBorder="1"/>
    <xf numFmtId="0" fontId="1" fillId="0" borderId="3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left"/>
    </xf>
    <xf numFmtId="0" fontId="15" fillId="0" borderId="0" xfId="0" applyFont="1" applyFill="1"/>
    <xf numFmtId="49" fontId="0" fillId="0" borderId="2" xfId="0" applyNumberFormat="1" applyFill="1" applyBorder="1" applyAlignment="1">
      <alignment horizontal="center"/>
    </xf>
    <xf numFmtId="4" fontId="0" fillId="0" borderId="2" xfId="0" applyNumberFormat="1" applyFont="1" applyFill="1" applyBorder="1"/>
    <xf numFmtId="49" fontId="5" fillId="0" borderId="2" xfId="0" applyNumberFormat="1" applyFont="1" applyFill="1" applyBorder="1" applyAlignment="1">
      <alignment horizontal="center"/>
    </xf>
    <xf numFmtId="4" fontId="5" fillId="0" borderId="12" xfId="0" applyNumberFormat="1" applyFont="1" applyFill="1" applyBorder="1"/>
    <xf numFmtId="4" fontId="1" fillId="0" borderId="15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/>
    </xf>
    <xf numFmtId="4" fontId="5" fillId="0" borderId="8" xfId="0" applyNumberFormat="1" applyFont="1" applyFill="1" applyBorder="1"/>
    <xf numFmtId="0" fontId="2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right"/>
    </xf>
    <xf numFmtId="0" fontId="0" fillId="0" borderId="10" xfId="0" applyFont="1" applyFill="1" applyBorder="1"/>
    <xf numFmtId="0" fontId="14" fillId="0" borderId="0" xfId="0" applyFont="1"/>
    <xf numFmtId="4" fontId="5" fillId="0" borderId="0" xfId="0" applyNumberFormat="1" applyFont="1" applyFill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7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0" borderId="10" xfId="0" applyNumberFormat="1" applyFont="1" applyFill="1" applyBorder="1" applyAlignment="1">
      <alignment horizontal="right"/>
    </xf>
    <xf numFmtId="0" fontId="10" fillId="0" borderId="0" xfId="0" applyFont="1"/>
    <xf numFmtId="4" fontId="2" fillId="0" borderId="2" xfId="0" applyNumberFormat="1" applyFont="1" applyFill="1" applyBorder="1" applyAlignment="1">
      <alignment horizontal="left"/>
    </xf>
    <xf numFmtId="164" fontId="18" fillId="0" borderId="0" xfId="0" applyNumberFormat="1" applyFont="1" applyFill="1" applyBorder="1" applyAlignment="1">
      <alignment horizontal="right"/>
    </xf>
    <xf numFmtId="49" fontId="0" fillId="0" borderId="7" xfId="0" applyNumberFormat="1" applyBorder="1" applyAlignment="1">
      <alignment horizontal="center"/>
    </xf>
    <xf numFmtId="0" fontId="0" fillId="0" borderId="7" xfId="0" applyBorder="1"/>
    <xf numFmtId="4" fontId="0" fillId="0" borderId="7" xfId="0" applyNumberFormat="1" applyBorder="1"/>
    <xf numFmtId="4" fontId="0" fillId="0" borderId="0" xfId="0" applyNumberFormat="1" applyFill="1"/>
    <xf numFmtId="4" fontId="19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49" fontId="0" fillId="0" borderId="0" xfId="0" applyNumberFormat="1" applyBorder="1" applyAlignment="1">
      <alignment horizontal="center"/>
    </xf>
    <xf numFmtId="4" fontId="0" fillId="0" borderId="0" xfId="0" applyNumberFormat="1" applyBorder="1"/>
    <xf numFmtId="4" fontId="11" fillId="0" borderId="15" xfId="0" applyNumberFormat="1" applyFont="1" applyFill="1" applyBorder="1" applyAlignment="1">
      <alignment horizontal="right" vertical="center" wrapText="1"/>
    </xf>
    <xf numFmtId="4" fontId="1" fillId="0" borderId="15" xfId="0" applyNumberFormat="1" applyFont="1" applyFill="1" applyBorder="1" applyAlignment="1">
      <alignment horizontal="right" vertical="center" wrapText="1"/>
    </xf>
    <xf numFmtId="0" fontId="20" fillId="0" borderId="15" xfId="0" applyFont="1" applyBorder="1" applyAlignment="1">
      <alignment horizontal="right" vertical="center" wrapText="1"/>
    </xf>
    <xf numFmtId="0" fontId="20" fillId="0" borderId="16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4" fontId="5" fillId="0" borderId="0" xfId="0" applyNumberFormat="1" applyFont="1" applyFill="1" applyBorder="1"/>
    <xf numFmtId="4" fontId="11" fillId="0" borderId="17" xfId="0" applyNumberFormat="1" applyFont="1" applyBorder="1"/>
    <xf numFmtId="4" fontId="11" fillId="0" borderId="17" xfId="0" applyNumberFormat="1" applyFont="1" applyFill="1" applyBorder="1" applyAlignment="1">
      <alignment horizontal="right"/>
    </xf>
    <xf numFmtId="4" fontId="5" fillId="0" borderId="7" xfId="0" applyNumberFormat="1" applyFont="1" applyFill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0" fontId="0" fillId="0" borderId="0" xfId="0" applyFont="1" applyFill="1" applyBorder="1"/>
    <xf numFmtId="4" fontId="2" fillId="0" borderId="0" xfId="0" applyNumberFormat="1" applyFont="1" applyFill="1" applyBorder="1" applyAlignment="1">
      <alignment horizontal="left"/>
    </xf>
    <xf numFmtId="4" fontId="8" fillId="2" borderId="9" xfId="0" applyNumberFormat="1" applyFont="1" applyFill="1" applyBorder="1"/>
    <xf numFmtId="4" fontId="2" fillId="0" borderId="1" xfId="0" applyNumberFormat="1" applyFont="1" applyFill="1" applyBorder="1" applyAlignment="1">
      <alignment horizontal="right"/>
    </xf>
    <xf numFmtId="4" fontId="8" fillId="2" borderId="5" xfId="0" applyNumberFormat="1" applyFont="1" applyFill="1" applyBorder="1"/>
    <xf numFmtId="4" fontId="1" fillId="0" borderId="4" xfId="0" applyNumberFormat="1" applyFont="1" applyBorder="1" applyAlignment="1">
      <alignment horizontal="right" vertical="center" wrapText="1"/>
    </xf>
    <xf numFmtId="4" fontId="1" fillId="0" borderId="18" xfId="0" applyNumberFormat="1" applyFont="1" applyBorder="1" applyAlignment="1">
      <alignment horizontal="right" vertical="center" wrapText="1"/>
    </xf>
    <xf numFmtId="0" fontId="6" fillId="0" borderId="0" xfId="0" applyFont="1"/>
    <xf numFmtId="1" fontId="6" fillId="0" borderId="0" xfId="0" quotePrefix="1" applyNumberFormat="1" applyFont="1" applyFill="1" applyAlignment="1">
      <alignment horizontal="center"/>
    </xf>
    <xf numFmtId="49" fontId="6" fillId="0" borderId="2" xfId="0" applyNumberFormat="1" applyFont="1" applyBorder="1" applyAlignment="1">
      <alignment horizontal="right"/>
    </xf>
    <xf numFmtId="0" fontId="6" fillId="0" borderId="2" xfId="0" applyFont="1" applyFill="1" applyBorder="1" applyAlignment="1">
      <alignment horizontal="left"/>
    </xf>
    <xf numFmtId="4" fontId="6" fillId="0" borderId="2" xfId="0" applyNumberFormat="1" applyFont="1" applyFill="1" applyBorder="1" applyAlignment="1">
      <alignment horizontal="right"/>
    </xf>
    <xf numFmtId="49" fontId="6" fillId="0" borderId="2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49" fontId="0" fillId="0" borderId="0" xfId="0" applyNumberFormat="1"/>
    <xf numFmtId="0" fontId="21" fillId="0" borderId="0" xfId="0" applyFont="1"/>
    <xf numFmtId="4" fontId="21" fillId="4" borderId="15" xfId="0" applyNumberFormat="1" applyFont="1" applyFill="1" applyBorder="1" applyAlignment="1">
      <alignment horizontal="right" vertical="center" wrapText="1"/>
    </xf>
    <xf numFmtId="0" fontId="21" fillId="4" borderId="0" xfId="0" applyFont="1" applyFill="1" applyAlignment="1">
      <alignment horizontal="right" vertical="center" wrapText="1"/>
    </xf>
    <xf numFmtId="4" fontId="21" fillId="4" borderId="8" xfId="0" applyNumberFormat="1" applyFont="1" applyFill="1" applyBorder="1"/>
    <xf numFmtId="0" fontId="21" fillId="4" borderId="0" xfId="0" applyFont="1" applyFill="1"/>
    <xf numFmtId="4" fontId="23" fillId="4" borderId="8" xfId="0" applyNumberFormat="1" applyFont="1" applyFill="1" applyBorder="1"/>
    <xf numFmtId="4" fontId="1" fillId="0" borderId="0" xfId="0" applyNumberFormat="1" applyFont="1" applyFill="1"/>
    <xf numFmtId="4" fontId="22" fillId="4" borderId="0" xfId="0" applyNumberFormat="1" applyFont="1" applyFill="1"/>
    <xf numFmtId="0" fontId="22" fillId="4" borderId="0" xfId="0" applyFont="1" applyFill="1"/>
    <xf numFmtId="0" fontId="1" fillId="0" borderId="3" xfId="0" applyFont="1" applyBorder="1"/>
    <xf numFmtId="4" fontId="22" fillId="4" borderId="5" xfId="0" applyNumberFormat="1" applyFont="1" applyFill="1" applyBorder="1"/>
    <xf numFmtId="0" fontId="24" fillId="0" borderId="4" xfId="0" applyFont="1" applyBorder="1" applyAlignment="1">
      <alignment horizontal="center"/>
    </xf>
    <xf numFmtId="4" fontId="25" fillId="4" borderId="0" xfId="0" applyNumberFormat="1" applyFont="1" applyFill="1"/>
    <xf numFmtId="4" fontId="5" fillId="5" borderId="2" xfId="0" applyNumberFormat="1" applyFont="1" applyFill="1" applyBorder="1" applyAlignment="1">
      <alignment horizontal="right"/>
    </xf>
    <xf numFmtId="4" fontId="5" fillId="0" borderId="10" xfId="0" applyNumberFormat="1" applyFont="1" applyBorder="1"/>
    <xf numFmtId="0" fontId="0" fillId="0" borderId="0" xfId="0" applyFont="1" applyBorder="1"/>
    <xf numFmtId="4" fontId="5" fillId="0" borderId="0" xfId="0" applyNumberFormat="1" applyFont="1" applyBorder="1" applyAlignment="1">
      <alignment horizontal="right"/>
    </xf>
    <xf numFmtId="4" fontId="5" fillId="6" borderId="2" xfId="0" applyNumberFormat="1" applyFont="1" applyFill="1" applyBorder="1" applyAlignment="1">
      <alignment horizontal="right"/>
    </xf>
    <xf numFmtId="4" fontId="11" fillId="0" borderId="6" xfId="0" applyNumberFormat="1" applyFont="1" applyFill="1" applyBorder="1"/>
    <xf numFmtId="4" fontId="5" fillId="2" borderId="2" xfId="0" applyNumberFormat="1" applyFont="1" applyFill="1" applyBorder="1" applyAlignment="1">
      <alignment horizontal="right"/>
    </xf>
    <xf numFmtId="4" fontId="5" fillId="7" borderId="2" xfId="0" applyNumberFormat="1" applyFont="1" applyFill="1" applyBorder="1" applyAlignment="1">
      <alignment horizontal="right"/>
    </xf>
    <xf numFmtId="4" fontId="5" fillId="8" borderId="2" xfId="0" applyNumberFormat="1" applyFont="1" applyFill="1" applyBorder="1" applyAlignment="1">
      <alignment horizontal="right"/>
    </xf>
    <xf numFmtId="4" fontId="5" fillId="9" borderId="2" xfId="0" applyNumberFormat="1" applyFont="1" applyFill="1" applyBorder="1" applyAlignment="1">
      <alignment horizontal="right"/>
    </xf>
    <xf numFmtId="4" fontId="5" fillId="10" borderId="2" xfId="0" applyNumberFormat="1" applyFont="1" applyFill="1" applyBorder="1" applyAlignment="1">
      <alignment horizontal="right"/>
    </xf>
    <xf numFmtId="4" fontId="30" fillId="0" borderId="2" xfId="0" applyNumberFormat="1" applyFont="1" applyFill="1" applyBorder="1" applyAlignment="1">
      <alignment horizontal="right"/>
    </xf>
    <xf numFmtId="0" fontId="31" fillId="0" borderId="2" xfId="0" applyFont="1" applyFill="1" applyBorder="1" applyAlignment="1">
      <alignment horizontal="left"/>
    </xf>
    <xf numFmtId="4" fontId="31" fillId="0" borderId="2" xfId="0" applyNumberFormat="1" applyFont="1" applyFill="1" applyBorder="1" applyAlignment="1">
      <alignment horizontal="left"/>
    </xf>
    <xf numFmtId="0" fontId="32" fillId="0" borderId="0" xfId="0" applyFont="1" applyFill="1"/>
    <xf numFmtId="0" fontId="30" fillId="0" borderId="0" xfId="0" applyFont="1" applyFill="1"/>
    <xf numFmtId="0" fontId="30" fillId="0" borderId="0" xfId="0" applyFont="1"/>
    <xf numFmtId="0" fontId="1" fillId="0" borderId="0" xfId="0" applyFont="1" applyFill="1" applyBorder="1"/>
    <xf numFmtId="0" fontId="31" fillId="0" borderId="0" xfId="0" applyFont="1"/>
    <xf numFmtId="0" fontId="32" fillId="0" borderId="0" xfId="0" applyFont="1"/>
    <xf numFmtId="4" fontId="25" fillId="4" borderId="0" xfId="0" applyNumberFormat="1" applyFont="1" applyFill="1" applyAlignment="1">
      <alignment vertical="center"/>
    </xf>
    <xf numFmtId="0" fontId="0" fillId="0" borderId="0" xfId="0" applyBorder="1" applyAlignment="1">
      <alignment vertical="center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0" borderId="0" xfId="0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1732360</xdr:colOff>
      <xdr:row>0</xdr:row>
      <xdr:rowOff>52552</xdr:rowOff>
    </xdr:from>
    <xdr:to>
      <xdr:col>12</xdr:col>
      <xdr:colOff>1594185</xdr:colOff>
      <xdr:row>3</xdr:row>
      <xdr:rowOff>225238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5753" y="52552"/>
          <a:ext cx="1644361" cy="812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5"/>
  <sheetViews>
    <sheetView showGridLines="0" tabSelected="1" view="pageLayout" zoomScale="70" zoomScaleNormal="96" zoomScalePageLayoutView="70" workbookViewId="0">
      <selection activeCell="B2" sqref="B2:F2"/>
    </sheetView>
  </sheetViews>
  <sheetFormatPr baseColWidth="10" defaultRowHeight="15" x14ac:dyDescent="0.25"/>
  <cols>
    <col min="1" max="1" width="7" customWidth="1"/>
    <col min="2" max="2" width="10.7109375" style="2" customWidth="1"/>
    <col min="3" max="3" width="38.28515625" customWidth="1"/>
    <col min="4" max="4" width="18.85546875" customWidth="1"/>
    <col min="5" max="6" width="19" customWidth="1"/>
    <col min="7" max="7" width="16.85546875" customWidth="1"/>
    <col min="8" max="8" width="15" hidden="1" customWidth="1"/>
    <col min="9" max="9" width="16.7109375" hidden="1" customWidth="1"/>
    <col min="10" max="10" width="18.140625" hidden="1" customWidth="1"/>
    <col min="11" max="11" width="21.28515625" customWidth="1"/>
    <col min="12" max="12" width="25" style="150" customWidth="1"/>
    <col min="13" max="13" width="24" customWidth="1"/>
  </cols>
  <sheetData>
    <row r="1" spans="2:13" ht="15.75" thickBot="1" x14ac:dyDescent="0.3">
      <c r="K1" t="s">
        <v>155</v>
      </c>
    </row>
    <row r="2" spans="2:13" ht="19.5" thickBot="1" x14ac:dyDescent="0.35">
      <c r="B2" s="185" t="s">
        <v>179</v>
      </c>
      <c r="C2" s="186"/>
      <c r="D2" s="186"/>
      <c r="E2" s="186"/>
      <c r="F2" s="187"/>
    </row>
    <row r="4" spans="2:13" ht="18.75" x14ac:dyDescent="0.3">
      <c r="B4" s="28" t="s">
        <v>44</v>
      </c>
    </row>
    <row r="5" spans="2:13" ht="15.75" thickBot="1" x14ac:dyDescent="0.3"/>
    <row r="6" spans="2:13" s="30" customFormat="1" ht="54.75" customHeight="1" thickBot="1" x14ac:dyDescent="0.3">
      <c r="B6" s="29" t="s">
        <v>47</v>
      </c>
      <c r="C6" s="103" t="s">
        <v>85</v>
      </c>
      <c r="D6" s="102" t="s">
        <v>82</v>
      </c>
      <c r="E6" s="102" t="s">
        <v>132</v>
      </c>
      <c r="F6" s="102" t="s">
        <v>133</v>
      </c>
      <c r="G6" s="125" t="s">
        <v>163</v>
      </c>
      <c r="H6" s="126" t="s">
        <v>134</v>
      </c>
      <c r="I6" s="127" t="s">
        <v>135</v>
      </c>
      <c r="J6" s="128" t="s">
        <v>136</v>
      </c>
      <c r="K6" s="126" t="s">
        <v>156</v>
      </c>
      <c r="L6" s="151" t="s">
        <v>162</v>
      </c>
      <c r="M6" s="126" t="s">
        <v>157</v>
      </c>
    </row>
    <row r="7" spans="2:13" x14ac:dyDescent="0.25">
      <c r="B7" s="31"/>
      <c r="C7" s="32"/>
      <c r="D7" s="33"/>
      <c r="E7" s="33"/>
      <c r="F7" s="33"/>
      <c r="G7" s="66"/>
      <c r="H7" s="2"/>
      <c r="I7" s="129"/>
      <c r="J7" s="129"/>
      <c r="K7" s="2"/>
      <c r="L7" s="152"/>
      <c r="M7" s="129"/>
    </row>
    <row r="8" spans="2:13" s="26" customFormat="1" x14ac:dyDescent="0.25">
      <c r="B8" s="34">
        <v>3</v>
      </c>
      <c r="C8" s="35" t="s">
        <v>86</v>
      </c>
      <c r="D8" s="101">
        <f>'Cap. 3 Ing. vendes'!F3</f>
        <v>1482392.24</v>
      </c>
      <c r="E8" s="101">
        <f>'Cap. 3 Ing. vendes'!G3</f>
        <v>516457.36</v>
      </c>
      <c r="F8" s="101">
        <f>'Cap. 3 Ing. vendes'!H3</f>
        <v>1998849.5999999999</v>
      </c>
      <c r="G8" s="101">
        <f>'Cap. 3 Ing. vendes'!I3</f>
        <v>757846.67999999993</v>
      </c>
      <c r="H8" s="101">
        <f>'Cap. 3 Ing. vendes'!J3</f>
        <v>9981.66</v>
      </c>
      <c r="I8" s="101">
        <f>'Cap. 3 Ing. vendes'!K3</f>
        <v>747865.02</v>
      </c>
      <c r="J8" s="101">
        <f>'Cap. 3 Ing. vendes'!L3</f>
        <v>-1037111.49</v>
      </c>
      <c r="K8" s="101">
        <f>'Cap. 3 Ing. vendes'!M3</f>
        <v>1286444.2</v>
      </c>
      <c r="L8" s="153">
        <f>'Cap. 3 Ing. vendes'!N3</f>
        <v>2044290.88</v>
      </c>
      <c r="M8" s="101">
        <f>'Cap. 3 Ing. vendes'!O3</f>
        <v>45441.280000000086</v>
      </c>
    </row>
    <row r="9" spans="2:13" s="26" customFormat="1" x14ac:dyDescent="0.25">
      <c r="B9" s="34">
        <v>4</v>
      </c>
      <c r="C9" s="35" t="s">
        <v>55</v>
      </c>
      <c r="D9" s="101">
        <f>'Cap. 4 Ing. Transf.corrents'!F3</f>
        <v>1685643</v>
      </c>
      <c r="E9" s="101">
        <f>'Cap. 4 Ing. Transf.corrents'!G3</f>
        <v>189621.77</v>
      </c>
      <c r="F9" s="101">
        <f>'Cap. 4 Ing. Transf.corrents'!H3</f>
        <v>1875264.7699999998</v>
      </c>
      <c r="G9" s="101">
        <f>'Cap. 4 Ing. Transf.corrents'!I3</f>
        <v>1642925.12</v>
      </c>
      <c r="H9" s="101">
        <f>'Cap. 4 Ing. Transf.corrents'!J3</f>
        <v>461627.78</v>
      </c>
      <c r="I9" s="101">
        <f>'Cap. 4 Ing. Transf.corrents'!K3</f>
        <v>1181297.3400000001</v>
      </c>
      <c r="J9" s="101">
        <f>'Cap. 4 Ing. Transf.corrents'!L3</f>
        <v>-232339.64999999976</v>
      </c>
      <c r="K9" s="101">
        <f>'Cap. 4 Ing. Transf.corrents'!M3</f>
        <v>84990.66</v>
      </c>
      <c r="L9" s="153">
        <f>'Cap. 4 Ing. Transf.corrents'!N3</f>
        <v>1745415.78</v>
      </c>
      <c r="M9" s="101">
        <f>'Cap. 4 Ing. Transf.corrents'!O3</f>
        <v>-135973.98999999976</v>
      </c>
    </row>
    <row r="10" spans="2:13" s="26" customFormat="1" x14ac:dyDescent="0.25">
      <c r="B10" s="34">
        <v>5</v>
      </c>
      <c r="C10" s="37" t="s">
        <v>56</v>
      </c>
      <c r="D10" s="36">
        <f>'Cap. 5 i 8 Ing. pat'!F3</f>
        <v>30</v>
      </c>
      <c r="E10" s="36">
        <f>'Cap. 5 i 8 Ing. pat'!G3</f>
        <v>0</v>
      </c>
      <c r="F10" s="36">
        <f>'Cap. 5 i 8 Ing. pat'!H3</f>
        <v>30</v>
      </c>
      <c r="G10" s="36">
        <f>'Cap. 5 i 8 Ing. pat'!I3</f>
        <v>0</v>
      </c>
      <c r="H10" s="36">
        <f>'Cap. 5 i 8 Ing. pat'!J3</f>
        <v>0</v>
      </c>
      <c r="I10" s="36">
        <f>'Cap. 5 i 8 Ing. pat'!K3</f>
        <v>0</v>
      </c>
      <c r="J10" s="36">
        <f>'Cap. 5 i 8 Ing. pat'!L3</f>
        <v>-30</v>
      </c>
      <c r="K10" s="36">
        <f>'Cap. 5 i 8 Ing. pat'!M3</f>
        <v>0</v>
      </c>
      <c r="L10" s="153">
        <f>'Cap. 5 i 8 Ing. pat'!N3</f>
        <v>0</v>
      </c>
      <c r="M10" s="36">
        <f>'Cap. 5 i 8 Ing. pat'!O3</f>
        <v>-30</v>
      </c>
    </row>
    <row r="11" spans="2:13" x14ac:dyDescent="0.25">
      <c r="B11" s="34">
        <v>8</v>
      </c>
      <c r="C11" s="37" t="s">
        <v>139</v>
      </c>
      <c r="D11" s="36">
        <f>'Cap. 5 i 8 Ing. pat'!F14</f>
        <v>0</v>
      </c>
      <c r="E11" s="36">
        <f>'Cap. 5 i 8 Ing. pat'!G14</f>
        <v>308218.64</v>
      </c>
      <c r="F11" s="36">
        <f>'Cap. 5 i 8 Ing. pat'!H14</f>
        <v>308218.64</v>
      </c>
      <c r="G11" s="36">
        <f>'Cap. 5 i 8 Ing. pat'!I14</f>
        <v>0</v>
      </c>
      <c r="H11" s="36">
        <f>'Cap. 5 i 8 Ing. pat'!J14</f>
        <v>0</v>
      </c>
      <c r="I11" s="36">
        <f>'Cap. 5 i 8 Ing. pat'!K14</f>
        <v>0</v>
      </c>
      <c r="J11" s="36">
        <f>'Cap. 5 i 8 Ing. pat'!L14</f>
        <v>-308218.64</v>
      </c>
      <c r="K11" s="36">
        <f>'Cap. 5 i 8 Ing. pat'!M14</f>
        <v>0</v>
      </c>
      <c r="L11" s="153">
        <f>'Cap. 5 i 8 Ing. pat'!N14</f>
        <v>0</v>
      </c>
      <c r="M11" s="36">
        <f>'Cap. 5 i 8 Ing. pat'!O14</f>
        <v>-308218.64</v>
      </c>
    </row>
    <row r="12" spans="2:13" x14ac:dyDescent="0.25">
      <c r="C12" s="1"/>
      <c r="E12" s="130"/>
      <c r="F12" s="130"/>
      <c r="G12" s="130"/>
      <c r="H12" s="130"/>
      <c r="I12" s="130"/>
      <c r="J12" s="130"/>
      <c r="L12" s="154"/>
    </row>
    <row r="13" spans="2:13" s="41" customFormat="1" ht="18.75" x14ac:dyDescent="0.3">
      <c r="B13" s="38" t="s">
        <v>57</v>
      </c>
      <c r="C13" s="39"/>
      <c r="D13" s="40">
        <f>SUM(D8:D11)</f>
        <v>3168065.24</v>
      </c>
      <c r="E13" s="40">
        <f t="shared" ref="E13:J13" si="0">SUM(E8:E11)</f>
        <v>1014297.77</v>
      </c>
      <c r="F13" s="40">
        <f>SUM(F8:F11)</f>
        <v>4182363.01</v>
      </c>
      <c r="G13" s="40">
        <f t="shared" si="0"/>
        <v>2400771.7999999998</v>
      </c>
      <c r="H13" s="40">
        <f t="shared" si="0"/>
        <v>471609.44</v>
      </c>
      <c r="I13" s="40">
        <f t="shared" si="0"/>
        <v>1929162.36</v>
      </c>
      <c r="J13" s="40">
        <f t="shared" si="0"/>
        <v>-1577699.7799999998</v>
      </c>
      <c r="K13" s="40">
        <f>SUM(K8:K12)</f>
        <v>1371434.8599999999</v>
      </c>
      <c r="L13" s="155">
        <f>SUM(L8:L12)</f>
        <v>3789706.66</v>
      </c>
      <c r="M13" s="40">
        <f>SUM(M8:M12)</f>
        <v>-398781.34999999969</v>
      </c>
    </row>
    <row r="14" spans="2:13" x14ac:dyDescent="0.25">
      <c r="B14" s="42"/>
    </row>
    <row r="15" spans="2:13" x14ac:dyDescent="0.25">
      <c r="B15" s="42"/>
    </row>
    <row r="16" spans="2:13" ht="18.75" x14ac:dyDescent="0.3">
      <c r="B16" s="28" t="s">
        <v>131</v>
      </c>
    </row>
    <row r="17" spans="2:17" ht="15.75" thickBot="1" x14ac:dyDescent="0.3"/>
    <row r="18" spans="2:17" s="30" customFormat="1" ht="51.75" customHeight="1" thickBot="1" x14ac:dyDescent="0.3">
      <c r="B18" s="29" t="s">
        <v>47</v>
      </c>
      <c r="C18" s="103" t="s">
        <v>85</v>
      </c>
      <c r="D18" s="102" t="s">
        <v>82</v>
      </c>
      <c r="E18" s="102" t="s">
        <v>132</v>
      </c>
      <c r="F18" s="102" t="s">
        <v>133</v>
      </c>
      <c r="G18" s="125" t="s">
        <v>164</v>
      </c>
      <c r="H18" s="126" t="s">
        <v>137</v>
      </c>
      <c r="I18" s="127" t="s">
        <v>138</v>
      </c>
      <c r="J18" s="128" t="s">
        <v>136</v>
      </c>
      <c r="K18" s="126" t="s">
        <v>158</v>
      </c>
      <c r="L18" s="151" t="s">
        <v>161</v>
      </c>
      <c r="M18" s="126" t="s">
        <v>157</v>
      </c>
    </row>
    <row r="19" spans="2:17" x14ac:dyDescent="0.25">
      <c r="B19" s="31"/>
      <c r="C19" s="32"/>
      <c r="D19" s="43"/>
      <c r="E19" s="43"/>
      <c r="F19" s="43"/>
      <c r="L19" s="154"/>
    </row>
    <row r="20" spans="2:17" s="26" customFormat="1" x14ac:dyDescent="0.25">
      <c r="B20" s="34">
        <v>1</v>
      </c>
      <c r="C20" s="35" t="s">
        <v>87</v>
      </c>
      <c r="D20" s="104">
        <f>'Cap. 1 Desp. Personal'!F3</f>
        <v>2283101.7007403998</v>
      </c>
      <c r="E20" s="104">
        <f>'Cap. 1 Desp. Personal'!G3</f>
        <v>542784.86</v>
      </c>
      <c r="F20" s="104">
        <f>'Cap. 1 Desp. Personal'!H3</f>
        <v>2825886.5607403996</v>
      </c>
      <c r="G20" s="104">
        <f>'Cap. 1 Desp. Personal'!I3</f>
        <v>1842449.75</v>
      </c>
      <c r="H20" s="104">
        <f>'Cap. 1 Desp. Personal'!J3</f>
        <v>0</v>
      </c>
      <c r="I20" s="104">
        <f>'Cap. 1 Desp. Personal'!K3</f>
        <v>1842449.75</v>
      </c>
      <c r="J20" s="104">
        <f>'Cap. 1 Desp. Personal'!L3</f>
        <v>983436.81074039987</v>
      </c>
      <c r="K20" s="104">
        <f>'Cap. 1 Desp. Personal'!M3</f>
        <v>773532.84960499988</v>
      </c>
      <c r="L20" s="153">
        <f>'Cap. 1 Desp. Personal'!N3</f>
        <v>2615982.5996049996</v>
      </c>
      <c r="M20" s="104">
        <f>'Cap. 1 Desp. Personal'!O3</f>
        <v>209903.96113539999</v>
      </c>
    </row>
    <row r="21" spans="2:17" s="26" customFormat="1" x14ac:dyDescent="0.25">
      <c r="B21" s="34">
        <v>2</v>
      </c>
      <c r="C21" s="35" t="s">
        <v>58</v>
      </c>
      <c r="D21" s="104">
        <f>'Cap. 2 Desp.Corrents'!F3</f>
        <v>872533.54</v>
      </c>
      <c r="E21" s="104">
        <f>'Cap. 2 Desp.Corrents'!G3</f>
        <v>436512.90999999992</v>
      </c>
      <c r="F21" s="104">
        <f>'Cap. 2 Desp.Corrents'!H3</f>
        <v>1309046.45</v>
      </c>
      <c r="G21" s="104">
        <f>'Cap. 2 Desp.Corrents'!I3</f>
        <v>415812.68</v>
      </c>
      <c r="H21" s="104">
        <f>'Cap. 2 Desp.Corrents'!J3</f>
        <v>29044.686000000002</v>
      </c>
      <c r="I21" s="104">
        <f>'Cap. 2 Desp.Corrents'!K3</f>
        <v>386767.99400000001</v>
      </c>
      <c r="J21" s="104">
        <f>'Cap. 2 Desp.Corrents'!L3</f>
        <v>893233.77000000025</v>
      </c>
      <c r="K21" s="104">
        <f>'Cap. 2 Desp.Corrents'!M3</f>
        <v>593979</v>
      </c>
      <c r="L21" s="153">
        <f>'Cap. 2 Desp.Corrents'!N3</f>
        <v>1009791.6799999999</v>
      </c>
      <c r="M21" s="104">
        <f>'Cap. 2 Desp.Corrents'!O3</f>
        <v>299254.77000000014</v>
      </c>
    </row>
    <row r="22" spans="2:17" s="26" customFormat="1" x14ac:dyDescent="0.25">
      <c r="B22" s="34">
        <v>3</v>
      </c>
      <c r="C22" s="35" t="s">
        <v>59</v>
      </c>
      <c r="D22" s="104">
        <f>'Cap. 3-4-6 Df, Tc, Inv'!F3</f>
        <v>430</v>
      </c>
      <c r="E22" s="104">
        <f>'Cap. 3-4-6 Df, Tc, Inv'!G3</f>
        <v>0</v>
      </c>
      <c r="F22" s="104">
        <f>'Cap. 3-4-6 Df, Tc, Inv'!H3</f>
        <v>430</v>
      </c>
      <c r="G22" s="104">
        <f>'Cap. 3-4-6 Df, Tc, Inv'!I3</f>
        <v>402.1</v>
      </c>
      <c r="H22" s="104">
        <f>'Cap. 3-4-6 Df, Tc, Inv'!J3</f>
        <v>0</v>
      </c>
      <c r="I22" s="104">
        <f>'Cap. 3-4-6 Df, Tc, Inv'!K3</f>
        <v>402.1</v>
      </c>
      <c r="J22" s="104">
        <f>'Cap. 3-4-6 Df, Tc, Inv'!L3</f>
        <v>27.899999999999977</v>
      </c>
      <c r="K22" s="104">
        <f>'Cap. 3-4-6 Df, Tc, Inv'!M3</f>
        <v>80</v>
      </c>
      <c r="L22" s="153">
        <f>'Cap. 3-4-6 Df, Tc, Inv'!N3</f>
        <v>482.1</v>
      </c>
      <c r="M22" s="104">
        <f>'Cap. 3-4-6 Df, Tc, Inv'!O3</f>
        <v>-52.100000000000023</v>
      </c>
    </row>
    <row r="23" spans="2:17" s="26" customFormat="1" x14ac:dyDescent="0.25">
      <c r="B23" s="34">
        <v>4</v>
      </c>
      <c r="C23" s="35" t="s">
        <v>140</v>
      </c>
      <c r="D23" s="104">
        <f>'Cap. 3-4-6 Df, Tc, Inv'!F13</f>
        <v>0</v>
      </c>
      <c r="E23" s="104">
        <f>'Cap. 3-4-6 Df, Tc, Inv'!G13</f>
        <v>28500</v>
      </c>
      <c r="F23" s="104">
        <f>'Cap. 3-4-6 Df, Tc, Inv'!H13</f>
        <v>28500</v>
      </c>
      <c r="G23" s="104">
        <f>'Cap. 3-4-6 Df, Tc, Inv'!I13</f>
        <v>28500</v>
      </c>
      <c r="H23" s="104">
        <f>'Cap. 3-4-6 Df, Tc, Inv'!J13</f>
        <v>18550</v>
      </c>
      <c r="I23" s="104">
        <f>'Cap. 3-4-6 Df, Tc, Inv'!K13</f>
        <v>9950</v>
      </c>
      <c r="J23" s="104">
        <f>'Cap. 3-4-6 Df, Tc, Inv'!L13</f>
        <v>0</v>
      </c>
      <c r="K23" s="104">
        <f>'Cap. 3-4-6 Df, Tc, Inv'!M13</f>
        <v>0</v>
      </c>
      <c r="L23" s="153">
        <f>'Cap. 3-4-6 Df, Tc, Inv'!N13</f>
        <v>28500</v>
      </c>
      <c r="M23" s="104">
        <f>'Cap. 3-4-6 Df, Tc, Inv'!O13</f>
        <v>0</v>
      </c>
    </row>
    <row r="24" spans="2:17" s="26" customFormat="1" x14ac:dyDescent="0.25">
      <c r="B24" s="34">
        <v>6</v>
      </c>
      <c r="C24" s="37" t="s">
        <v>60</v>
      </c>
      <c r="D24" s="104">
        <f>'Cap. 3-4-6 Df, Tc, Inv'!F23</f>
        <v>12000</v>
      </c>
      <c r="E24" s="104">
        <f>'Cap. 3-4-6 Df, Tc, Inv'!G23</f>
        <v>6500</v>
      </c>
      <c r="F24" s="104">
        <f>'Cap. 3-4-6 Df, Tc, Inv'!H23</f>
        <v>18500</v>
      </c>
      <c r="G24" s="104">
        <f>'Cap. 3-4-6 Df, Tc, Inv'!I23</f>
        <v>5613.33</v>
      </c>
      <c r="H24" s="104">
        <f>'Cap. 3-4-6 Df, Tc, Inv'!J23</f>
        <v>0</v>
      </c>
      <c r="I24" s="104">
        <f>'Cap. 3-4-6 Df, Tc, Inv'!K23</f>
        <v>5613.33</v>
      </c>
      <c r="J24" s="104">
        <f>'Cap. 3-4-6 Df, Tc, Inv'!L23</f>
        <v>12886.670000000002</v>
      </c>
      <c r="K24" s="104">
        <f>'Cap. 3-4-6 Df, Tc, Inv'!M23</f>
        <v>26124.66</v>
      </c>
      <c r="L24" s="153">
        <f>'Cap. 3-4-6 Df, Tc, Inv'!N23</f>
        <v>31737.989999999998</v>
      </c>
      <c r="M24" s="104">
        <f>'Cap. 3-4-6 Df, Tc, Inv'!O23</f>
        <v>-13237.989999999998</v>
      </c>
    </row>
    <row r="25" spans="2:17" x14ac:dyDescent="0.25">
      <c r="L25" s="154"/>
    </row>
    <row r="26" spans="2:17" s="41" customFormat="1" ht="18.75" x14ac:dyDescent="0.3">
      <c r="B26" s="38" t="s">
        <v>61</v>
      </c>
      <c r="C26" s="39"/>
      <c r="D26" s="40">
        <f t="shared" ref="D26:J26" si="1">SUM(D20:D25)</f>
        <v>3168065.2407403998</v>
      </c>
      <c r="E26" s="40">
        <f t="shared" si="1"/>
        <v>1014297.7699999999</v>
      </c>
      <c r="F26" s="40">
        <f t="shared" si="1"/>
        <v>4182363.0107403994</v>
      </c>
      <c r="G26" s="40">
        <f t="shared" si="1"/>
        <v>2292777.8600000003</v>
      </c>
      <c r="H26" s="40">
        <f t="shared" si="1"/>
        <v>47594.686000000002</v>
      </c>
      <c r="I26" s="40">
        <f t="shared" si="1"/>
        <v>2245183.1740000001</v>
      </c>
      <c r="J26" s="40">
        <f t="shared" si="1"/>
        <v>1889585.1507404</v>
      </c>
      <c r="K26" s="40">
        <f>SUM(K20:K25)</f>
        <v>1393716.5096049998</v>
      </c>
      <c r="L26" s="155">
        <f>SUM(L20:L25)</f>
        <v>3686494.3696049997</v>
      </c>
      <c r="M26" s="40">
        <f>SUM(M20:M25)</f>
        <v>495868.64113540016</v>
      </c>
    </row>
    <row r="28" spans="2:17" x14ac:dyDescent="0.25">
      <c r="D28" s="120"/>
    </row>
    <row r="29" spans="2:17" x14ac:dyDescent="0.25">
      <c r="C29" s="32" t="s">
        <v>141</v>
      </c>
      <c r="E29" s="27">
        <f>E13-E26</f>
        <v>0</v>
      </c>
      <c r="F29" s="27">
        <f>F13-F26</f>
        <v>-7.4039958417415619E-4</v>
      </c>
      <c r="G29" s="27">
        <f t="shared" ref="G29:I29" si="2">G13-G26</f>
        <v>107993.93999999948</v>
      </c>
      <c r="H29" s="27">
        <f t="shared" si="2"/>
        <v>424014.75400000002</v>
      </c>
      <c r="I29" s="27">
        <f t="shared" si="2"/>
        <v>-316020.81400000001</v>
      </c>
      <c r="J29" s="27">
        <f>J13+J26</f>
        <v>311885.37074040016</v>
      </c>
      <c r="K29" s="120">
        <f>K13-K26</f>
        <v>-22281.649604999926</v>
      </c>
      <c r="L29" s="156">
        <f>L13-L26</f>
        <v>103212.29039500048</v>
      </c>
      <c r="M29" s="120">
        <f>M13+M26</f>
        <v>97087.291135400475</v>
      </c>
    </row>
    <row r="30" spans="2:17" x14ac:dyDescent="0.25">
      <c r="D30" s="27"/>
    </row>
    <row r="31" spans="2:17" ht="30.75" customHeight="1" x14ac:dyDescent="0.25">
      <c r="B31" s="44"/>
      <c r="D31" s="27"/>
      <c r="K31" s="184" t="s">
        <v>165</v>
      </c>
      <c r="L31" s="183">
        <v>300000</v>
      </c>
      <c r="M31" s="188" t="s">
        <v>178</v>
      </c>
      <c r="N31" s="188"/>
      <c r="O31" s="188"/>
      <c r="P31" s="188"/>
      <c r="Q31" s="188"/>
    </row>
    <row r="32" spans="2:17" x14ac:dyDescent="0.25">
      <c r="B32" s="44"/>
      <c r="K32" s="4" t="s">
        <v>159</v>
      </c>
      <c r="L32" s="162">
        <v>43323.69</v>
      </c>
    </row>
    <row r="33" spans="11:13" ht="15" customHeight="1" x14ac:dyDescent="0.25">
      <c r="K33" s="4" t="s">
        <v>166</v>
      </c>
      <c r="L33" s="162">
        <v>308218.64</v>
      </c>
    </row>
    <row r="34" spans="11:13" x14ac:dyDescent="0.25">
      <c r="K34" s="4" t="s">
        <v>167</v>
      </c>
      <c r="L34" s="162"/>
      <c r="M34" t="s">
        <v>169</v>
      </c>
    </row>
    <row r="35" spans="11:13" x14ac:dyDescent="0.25">
      <c r="L35" s="157"/>
    </row>
    <row r="36" spans="11:13" ht="15.75" thickBot="1" x14ac:dyDescent="0.3">
      <c r="L36" s="158"/>
    </row>
    <row r="37" spans="11:13" ht="15.75" thickBot="1" x14ac:dyDescent="0.3">
      <c r="K37" s="159" t="s">
        <v>160</v>
      </c>
      <c r="L37" s="160">
        <f>L29-L31-L32+L33+L34-L35</f>
        <v>68107.240395000495</v>
      </c>
      <c r="M37" s="161"/>
    </row>
    <row r="45" spans="11:13" ht="15.75" customHeight="1" x14ac:dyDescent="0.25"/>
  </sheetData>
  <mergeCells count="2">
    <mergeCell ref="B2:F2"/>
    <mergeCell ref="M31:Q31"/>
  </mergeCells>
  <printOptions horizontalCentered="1"/>
  <pageMargins left="0" right="0" top="0.39370078740157483" bottom="0.39370078740157483" header="0.31496062992125984" footer="0.15748031496062992"/>
  <pageSetup paperSize="9" scale="61" fitToHeight="0" orientation="landscape" r:id="rId1"/>
  <headerFooter>
    <oddFooter>&amp;CSeguiment pressupost 2020 IERMB _ 30-09-2020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P31"/>
  <sheetViews>
    <sheetView showGridLines="0" zoomScaleNormal="100" zoomScaleSheetLayoutView="100" zoomScalePageLayoutView="96" workbookViewId="0">
      <selection activeCell="O32" sqref="O32"/>
    </sheetView>
  </sheetViews>
  <sheetFormatPr baseColWidth="10" defaultRowHeight="15" x14ac:dyDescent="0.25"/>
  <cols>
    <col min="1" max="1" width="1.85546875" customWidth="1"/>
    <col min="2" max="2" width="10.7109375" customWidth="1"/>
    <col min="3" max="3" width="6.85546875" customWidth="1"/>
    <col min="4" max="4" width="49" customWidth="1"/>
    <col min="5" max="5" width="33.7109375" customWidth="1"/>
    <col min="6" max="6" width="15.28515625" customWidth="1"/>
    <col min="7" max="7" width="14.140625" customWidth="1"/>
    <col min="8" max="8" width="15.28515625" customWidth="1"/>
    <col min="9" max="9" width="13.7109375" customWidth="1"/>
    <col min="10" max="10" width="14.7109375" hidden="1" customWidth="1"/>
    <col min="11" max="11" width="13.140625" hidden="1" customWidth="1"/>
    <col min="12" max="12" width="17.140625" hidden="1" customWidth="1"/>
    <col min="13" max="13" width="14.85546875" bestFit="1" customWidth="1"/>
    <col min="14" max="14" width="16.85546875" customWidth="1"/>
    <col min="15" max="15" width="16.140625" customWidth="1"/>
  </cols>
  <sheetData>
    <row r="2" spans="1:16" ht="15.75" thickBot="1" x14ac:dyDescent="0.3"/>
    <row r="3" spans="1:16" s="19" customFormat="1" ht="18" thickBot="1" x14ac:dyDescent="0.35">
      <c r="A3" s="45" t="s">
        <v>103</v>
      </c>
      <c r="B3" s="46"/>
      <c r="C3" s="46"/>
      <c r="D3" s="46"/>
      <c r="E3" s="46"/>
      <c r="F3" s="89">
        <f t="shared" ref="F3:O3" si="0">F7</f>
        <v>1482392.24</v>
      </c>
      <c r="G3" s="89">
        <f t="shared" si="0"/>
        <v>516457.36</v>
      </c>
      <c r="H3" s="89">
        <f t="shared" si="0"/>
        <v>1998849.5999999999</v>
      </c>
      <c r="I3" s="89">
        <f t="shared" si="0"/>
        <v>757846.67999999993</v>
      </c>
      <c r="J3" s="89">
        <f t="shared" si="0"/>
        <v>9981.66</v>
      </c>
      <c r="K3" s="89">
        <f t="shared" si="0"/>
        <v>747865.02</v>
      </c>
      <c r="L3" s="89">
        <f t="shared" si="0"/>
        <v>-1037111.49</v>
      </c>
      <c r="M3" s="137">
        <f t="shared" si="0"/>
        <v>1286444.2</v>
      </c>
      <c r="N3" s="137">
        <f t="shared" si="0"/>
        <v>2044290.88</v>
      </c>
      <c r="O3" s="137">
        <f t="shared" si="0"/>
        <v>45441.280000000086</v>
      </c>
    </row>
    <row r="4" spans="1:16" ht="15.75" thickBot="1" x14ac:dyDescent="0.3"/>
    <row r="5" spans="1:16" s="30" customFormat="1" ht="45.75" thickBot="1" x14ac:dyDescent="0.3">
      <c r="A5" s="47"/>
      <c r="B5" s="29" t="s">
        <v>62</v>
      </c>
      <c r="C5" s="76"/>
      <c r="D5" s="85" t="s">
        <v>3</v>
      </c>
      <c r="E5" s="77"/>
      <c r="F5" s="78" t="s">
        <v>82</v>
      </c>
      <c r="G5" s="102" t="s">
        <v>132</v>
      </c>
      <c r="H5" s="102" t="s">
        <v>133</v>
      </c>
      <c r="I5" s="125" t="s">
        <v>163</v>
      </c>
      <c r="J5" s="126" t="s">
        <v>134</v>
      </c>
      <c r="K5" s="127" t="s">
        <v>135</v>
      </c>
      <c r="L5" s="128" t="s">
        <v>136</v>
      </c>
      <c r="M5" s="126" t="s">
        <v>156</v>
      </c>
      <c r="N5" s="151" t="s">
        <v>162</v>
      </c>
      <c r="O5" s="126" t="s">
        <v>157</v>
      </c>
    </row>
    <row r="6" spans="1:16" x14ac:dyDescent="0.25">
      <c r="B6" s="31"/>
      <c r="C6" s="32"/>
      <c r="D6" s="6"/>
      <c r="E6" s="6"/>
      <c r="F6" s="33"/>
    </row>
    <row r="7" spans="1:16" ht="15.75" thickBot="1" x14ac:dyDescent="0.3">
      <c r="B7" s="49">
        <v>3</v>
      </c>
      <c r="C7" s="50" t="s">
        <v>86</v>
      </c>
      <c r="D7" s="51"/>
      <c r="E7" s="51"/>
      <c r="F7" s="52">
        <f>F9+F8+F22+F27</f>
        <v>1482392.24</v>
      </c>
      <c r="G7" s="52">
        <f t="shared" ref="G7:H7" si="1">G9+G8+G22+G27</f>
        <v>516457.36</v>
      </c>
      <c r="H7" s="52">
        <f t="shared" si="1"/>
        <v>1998849.5999999999</v>
      </c>
      <c r="I7" s="52">
        <f>I9+I8+I22+I27</f>
        <v>757846.67999999993</v>
      </c>
      <c r="J7" s="52">
        <f t="shared" ref="J7:O7" si="2">J9+J8+J22+J27</f>
        <v>9981.66</v>
      </c>
      <c r="K7" s="52">
        <f t="shared" si="2"/>
        <v>747865.02</v>
      </c>
      <c r="L7" s="52">
        <f t="shared" si="2"/>
        <v>-1037111.49</v>
      </c>
      <c r="M7" s="52">
        <f t="shared" si="2"/>
        <v>1286444.2</v>
      </c>
      <c r="N7" s="52">
        <f>N9+N8+N22+N27</f>
        <v>2044290.88</v>
      </c>
      <c r="O7" s="52">
        <f t="shared" si="2"/>
        <v>45441.280000000086</v>
      </c>
    </row>
    <row r="8" spans="1:16" s="3" customFormat="1" ht="15.75" thickTop="1" x14ac:dyDescent="0.25">
      <c r="B8" s="84">
        <v>36001</v>
      </c>
      <c r="C8" s="16" t="s">
        <v>4</v>
      </c>
      <c r="D8" s="17"/>
      <c r="E8" s="17"/>
      <c r="F8" s="25">
        <v>150</v>
      </c>
      <c r="G8" s="25">
        <v>0</v>
      </c>
      <c r="H8" s="25">
        <f>F8+G8</f>
        <v>150</v>
      </c>
      <c r="I8" s="131">
        <v>14.42</v>
      </c>
      <c r="J8" s="132">
        <f>I8-K8</f>
        <v>0</v>
      </c>
      <c r="K8" s="131">
        <v>14.42</v>
      </c>
      <c r="L8" s="132">
        <f>I8-H8</f>
        <v>-135.58000000000001</v>
      </c>
      <c r="M8" s="132">
        <v>0</v>
      </c>
      <c r="N8" s="132">
        <f>I8+M8</f>
        <v>14.42</v>
      </c>
      <c r="O8" s="132">
        <f>N8-H8</f>
        <v>-135.58000000000001</v>
      </c>
    </row>
    <row r="9" spans="1:16" x14ac:dyDescent="0.25">
      <c r="B9" s="81">
        <v>39900</v>
      </c>
      <c r="C9" s="53" t="s">
        <v>88</v>
      </c>
      <c r="D9" s="54"/>
      <c r="E9" s="54"/>
      <c r="F9" s="55">
        <f t="shared" ref="F9:H9" si="3">SUM(F10:F21)</f>
        <v>1482242.24</v>
      </c>
      <c r="G9" s="55">
        <f>SUM(G10:G21)</f>
        <v>500957.36</v>
      </c>
      <c r="H9" s="55">
        <f t="shared" si="3"/>
        <v>1983199.5999999999</v>
      </c>
      <c r="I9" s="55">
        <f>SUM(I10:I21)</f>
        <v>530592.29999999993</v>
      </c>
      <c r="J9" s="55">
        <f t="shared" ref="J9" si="4">SUM(J10:J21)</f>
        <v>9981.66</v>
      </c>
      <c r="K9" s="55">
        <f t="shared" ref="K9" si="5">SUM(K10:K21)</f>
        <v>520610.63999999996</v>
      </c>
      <c r="L9" s="55">
        <f t="shared" ref="L9:O9" si="6">SUM(L10:L21)</f>
        <v>-1248715.8699999999</v>
      </c>
      <c r="M9" s="55">
        <f t="shared" si="6"/>
        <v>779266.31</v>
      </c>
      <c r="N9" s="55">
        <f>SUM(N10:N21)</f>
        <v>1309858.6099999999</v>
      </c>
      <c r="O9" s="55">
        <f t="shared" si="6"/>
        <v>-673340.99</v>
      </c>
    </row>
    <row r="10" spans="1:16" x14ac:dyDescent="0.25">
      <c r="B10" s="82"/>
      <c r="C10" s="68"/>
      <c r="D10" s="73" t="s">
        <v>106</v>
      </c>
      <c r="E10" s="74" t="s">
        <v>105</v>
      </c>
      <c r="F10" s="112">
        <f>349760.86+303740.44</f>
        <v>653501.30000000005</v>
      </c>
      <c r="G10" s="12">
        <v>241264.71</v>
      </c>
      <c r="H10" s="170">
        <f>F10+G10</f>
        <v>894766.01</v>
      </c>
      <c r="I10" s="12">
        <f>29146.74*6+49252.14*2+120632.31</f>
        <v>394017.02999999997</v>
      </c>
      <c r="J10" s="12">
        <f>I10-K10</f>
        <v>0</v>
      </c>
      <c r="K10" s="12">
        <f>29146.74*6+49252.14*2+120632.31</f>
        <v>394017.02999999997</v>
      </c>
      <c r="L10" s="12">
        <f>I10-H10</f>
        <v>-500748.98000000004</v>
      </c>
      <c r="M10" s="12">
        <f>49252.13*4</f>
        <v>197008.52</v>
      </c>
      <c r="N10" s="170">
        <f>I10+M10</f>
        <v>591025.54999999993</v>
      </c>
      <c r="O10" s="169">
        <f>N10-H10</f>
        <v>-303740.46000000008</v>
      </c>
    </row>
    <row r="11" spans="1:16" x14ac:dyDescent="0.25">
      <c r="B11" s="82"/>
      <c r="C11" s="68"/>
      <c r="D11" s="73" t="s">
        <v>117</v>
      </c>
      <c r="E11" s="74" t="s">
        <v>105</v>
      </c>
      <c r="F11" s="112">
        <v>24000</v>
      </c>
      <c r="G11" s="174">
        <v>0</v>
      </c>
      <c r="H11" s="12">
        <f>F11+G11</f>
        <v>24000</v>
      </c>
      <c r="I11" s="12">
        <v>9981.66</v>
      </c>
      <c r="J11" s="12">
        <f>I11-K11</f>
        <v>9981.66</v>
      </c>
      <c r="K11" s="12">
        <v>0</v>
      </c>
      <c r="L11" s="12">
        <f>I11-H11</f>
        <v>-14018.34</v>
      </c>
      <c r="M11" s="12">
        <v>25567.66</v>
      </c>
      <c r="N11" s="12">
        <f>I11+M11</f>
        <v>35549.32</v>
      </c>
      <c r="O11" s="12">
        <f>N11-H11</f>
        <v>11549.32</v>
      </c>
    </row>
    <row r="12" spans="1:16" x14ac:dyDescent="0.25">
      <c r="B12" s="82"/>
      <c r="C12" s="68"/>
      <c r="D12" s="175" t="s">
        <v>171</v>
      </c>
      <c r="E12" s="176" t="s">
        <v>121</v>
      </c>
      <c r="F12" s="112">
        <v>0</v>
      </c>
      <c r="G12" s="12">
        <v>175016.43</v>
      </c>
      <c r="H12" s="12">
        <f t="shared" ref="H12:H13" si="7">F12+G12</f>
        <v>175016.43</v>
      </c>
      <c r="I12" s="12">
        <v>0</v>
      </c>
      <c r="J12" s="12"/>
      <c r="K12" s="12"/>
      <c r="L12" s="12"/>
      <c r="M12" s="163">
        <f>H12</f>
        <v>175016.43</v>
      </c>
      <c r="N12" s="12">
        <f t="shared" ref="N12:N13" si="8">I12+M12</f>
        <v>175016.43</v>
      </c>
      <c r="O12" s="12">
        <f t="shared" ref="O12:O26" si="9">N12-H12</f>
        <v>0</v>
      </c>
    </row>
    <row r="13" spans="1:16" x14ac:dyDescent="0.25">
      <c r="B13" s="82"/>
      <c r="C13" s="68"/>
      <c r="D13" s="175" t="s">
        <v>172</v>
      </c>
      <c r="E13" s="176" t="s">
        <v>121</v>
      </c>
      <c r="F13" s="112">
        <v>0</v>
      </c>
      <c r="G13" s="12">
        <v>28875</v>
      </c>
      <c r="H13" s="12">
        <f t="shared" si="7"/>
        <v>28875</v>
      </c>
      <c r="I13" s="12">
        <v>0</v>
      </c>
      <c r="J13" s="12"/>
      <c r="K13" s="12"/>
      <c r="L13" s="12"/>
      <c r="M13" s="163">
        <f>H13</f>
        <v>28875</v>
      </c>
      <c r="N13" s="12">
        <f t="shared" si="8"/>
        <v>28875</v>
      </c>
      <c r="O13" s="12">
        <f t="shared" si="9"/>
        <v>0</v>
      </c>
    </row>
    <row r="14" spans="1:16" s="2" customFormat="1" x14ac:dyDescent="0.25">
      <c r="B14" s="82"/>
      <c r="C14" s="122"/>
      <c r="D14" s="115" t="s">
        <v>71</v>
      </c>
      <c r="E14" s="115" t="s">
        <v>48</v>
      </c>
      <c r="F14" s="12">
        <f>63464.4+253857.6</f>
        <v>317322</v>
      </c>
      <c r="G14" s="12">
        <v>55801.22</v>
      </c>
      <c r="H14" s="12">
        <f t="shared" ref="H14:H21" si="10">F14+G14</f>
        <v>373123.22</v>
      </c>
      <c r="I14" s="12">
        <f>36655.43+59860.12</f>
        <v>96515.55</v>
      </c>
      <c r="J14" s="12">
        <f>I14-K14</f>
        <v>0</v>
      </c>
      <c r="K14" s="12">
        <f>36655.43+59860.12</f>
        <v>96515.55</v>
      </c>
      <c r="L14" s="12">
        <f t="shared" ref="L14:L21" si="11">I14-H14</f>
        <v>-276607.67</v>
      </c>
      <c r="M14" s="12">
        <f>73310.86+183277.15</f>
        <v>256588.01</v>
      </c>
      <c r="N14" s="12">
        <f t="shared" ref="N14:N24" si="12">I14+M14</f>
        <v>353103.56</v>
      </c>
      <c r="O14" s="12">
        <f>N14-H14</f>
        <v>-20019.659999999974</v>
      </c>
    </row>
    <row r="15" spans="1:16" s="2" customFormat="1" x14ac:dyDescent="0.25">
      <c r="B15" s="82"/>
      <c r="C15" s="122"/>
      <c r="D15" s="74" t="s">
        <v>111</v>
      </c>
      <c r="E15" s="115" t="s">
        <v>112</v>
      </c>
      <c r="F15" s="12">
        <v>6000</v>
      </c>
      <c r="G15" s="12">
        <v>0</v>
      </c>
      <c r="H15" s="12">
        <f t="shared" si="10"/>
        <v>6000</v>
      </c>
      <c r="I15" s="12">
        <v>0</v>
      </c>
      <c r="J15" s="12">
        <f t="shared" ref="J15:J21" si="13">I15-K15</f>
        <v>0</v>
      </c>
      <c r="K15" s="12">
        <v>0</v>
      </c>
      <c r="L15" s="12">
        <f t="shared" si="11"/>
        <v>-6000</v>
      </c>
      <c r="M15" s="163"/>
      <c r="N15" s="12">
        <f t="shared" si="12"/>
        <v>0</v>
      </c>
      <c r="O15" s="12">
        <f t="shared" si="9"/>
        <v>-6000</v>
      </c>
      <c r="P15" s="177" t="s">
        <v>170</v>
      </c>
    </row>
    <row r="16" spans="1:16" s="66" customFormat="1" x14ac:dyDescent="0.25">
      <c r="B16" s="83"/>
      <c r="C16" s="122"/>
      <c r="D16" s="74" t="s">
        <v>114</v>
      </c>
      <c r="E16" s="74" t="s">
        <v>113</v>
      </c>
      <c r="F16" s="12">
        <v>10164</v>
      </c>
      <c r="G16" s="12">
        <v>0</v>
      </c>
      <c r="H16" s="12">
        <f t="shared" si="10"/>
        <v>10164</v>
      </c>
      <c r="I16" s="12">
        <v>0</v>
      </c>
      <c r="J16" s="12">
        <f t="shared" si="13"/>
        <v>0</v>
      </c>
      <c r="K16" s="12">
        <v>0</v>
      </c>
      <c r="L16" s="12">
        <f t="shared" si="11"/>
        <v>-10164</v>
      </c>
      <c r="M16" s="12">
        <v>10164</v>
      </c>
      <c r="N16" s="12">
        <f t="shared" si="12"/>
        <v>10164</v>
      </c>
      <c r="O16" s="12">
        <f t="shared" si="9"/>
        <v>0</v>
      </c>
      <c r="P16" s="177"/>
    </row>
    <row r="17" spans="2:16" s="66" customFormat="1" x14ac:dyDescent="0.25">
      <c r="B17" s="83"/>
      <c r="C17" s="122"/>
      <c r="D17" s="74" t="s">
        <v>115</v>
      </c>
      <c r="E17" s="74" t="s">
        <v>116</v>
      </c>
      <c r="F17" s="12">
        <v>10164</v>
      </c>
      <c r="G17" s="12">
        <v>0</v>
      </c>
      <c r="H17" s="12">
        <f t="shared" si="10"/>
        <v>10164</v>
      </c>
      <c r="I17" s="12">
        <v>0</v>
      </c>
      <c r="J17" s="12">
        <f t="shared" si="13"/>
        <v>0</v>
      </c>
      <c r="K17" s="12">
        <v>0</v>
      </c>
      <c r="L17" s="12">
        <f t="shared" si="11"/>
        <v>-10164</v>
      </c>
      <c r="M17" s="163"/>
      <c r="N17" s="12">
        <f t="shared" si="12"/>
        <v>0</v>
      </c>
      <c r="O17" s="12">
        <f>N17-H17</f>
        <v>-10164</v>
      </c>
      <c r="P17" s="177" t="s">
        <v>170</v>
      </c>
    </row>
    <row r="18" spans="2:16" s="66" customFormat="1" x14ac:dyDescent="0.25">
      <c r="B18" s="83"/>
      <c r="C18" s="122"/>
      <c r="D18" s="74" t="s">
        <v>129</v>
      </c>
      <c r="E18" s="74" t="s">
        <v>121</v>
      </c>
      <c r="F18" s="12">
        <f>87308.72*3</f>
        <v>261926.16</v>
      </c>
      <c r="G18" s="12">
        <v>0</v>
      </c>
      <c r="H18" s="12">
        <f t="shared" si="10"/>
        <v>261926.16</v>
      </c>
      <c r="I18" s="12">
        <v>0</v>
      </c>
      <c r="J18" s="12">
        <f t="shared" si="13"/>
        <v>0</v>
      </c>
      <c r="K18" s="12">
        <v>0</v>
      </c>
      <c r="L18" s="12">
        <f t="shared" si="11"/>
        <v>-261926.16</v>
      </c>
      <c r="M18" s="12">
        <v>0</v>
      </c>
      <c r="N18" s="12">
        <f t="shared" si="12"/>
        <v>0</v>
      </c>
      <c r="O18" s="171">
        <f t="shared" si="9"/>
        <v>-261926.16</v>
      </c>
      <c r="P18" s="178"/>
    </row>
    <row r="19" spans="2:16" s="66" customFormat="1" x14ac:dyDescent="0.25">
      <c r="B19" s="83"/>
      <c r="C19" s="122"/>
      <c r="D19" s="74" t="s">
        <v>130</v>
      </c>
      <c r="E19" s="74" t="s">
        <v>122</v>
      </c>
      <c r="F19" s="12">
        <v>87308.72</v>
      </c>
      <c r="G19" s="12">
        <v>0</v>
      </c>
      <c r="H19" s="12">
        <f t="shared" si="10"/>
        <v>87308.72</v>
      </c>
      <c r="I19" s="12">
        <v>0</v>
      </c>
      <c r="J19" s="12">
        <f t="shared" si="13"/>
        <v>0</v>
      </c>
      <c r="K19" s="12">
        <v>0</v>
      </c>
      <c r="L19" s="12">
        <f t="shared" si="11"/>
        <v>-87308.72</v>
      </c>
      <c r="M19" s="12">
        <v>0</v>
      </c>
      <c r="N19" s="12">
        <f t="shared" si="12"/>
        <v>0</v>
      </c>
      <c r="O19" s="172">
        <f t="shared" si="9"/>
        <v>-87308.72</v>
      </c>
      <c r="P19" s="178"/>
    </row>
    <row r="20" spans="2:16" x14ac:dyDescent="0.25">
      <c r="C20" s="75"/>
      <c r="D20" s="74" t="s">
        <v>123</v>
      </c>
      <c r="E20" s="74" t="s">
        <v>122</v>
      </c>
      <c r="F20" s="12">
        <v>10000</v>
      </c>
      <c r="G20" s="12">
        <v>0</v>
      </c>
      <c r="H20" s="12">
        <f t="shared" si="10"/>
        <v>10000</v>
      </c>
      <c r="I20" s="12">
        <v>0</v>
      </c>
      <c r="J20" s="12">
        <f t="shared" si="13"/>
        <v>0</v>
      </c>
      <c r="K20" s="12">
        <v>0</v>
      </c>
      <c r="L20" s="12">
        <f t="shared" si="11"/>
        <v>-10000</v>
      </c>
      <c r="M20" s="12">
        <v>0</v>
      </c>
      <c r="N20" s="12">
        <f t="shared" si="12"/>
        <v>0</v>
      </c>
      <c r="O20" s="173">
        <f>N20-H20</f>
        <v>-10000</v>
      </c>
      <c r="P20" s="179"/>
    </row>
    <row r="21" spans="2:16" x14ac:dyDescent="0.25">
      <c r="C21" s="75"/>
      <c r="D21" s="74" t="s">
        <v>77</v>
      </c>
      <c r="E21" s="74" t="s">
        <v>78</v>
      </c>
      <c r="F21" s="12">
        <f>63677.58+24779.31+13399.17</f>
        <v>101856.06</v>
      </c>
      <c r="G21" s="174">
        <v>0</v>
      </c>
      <c r="H21" s="12">
        <f t="shared" si="10"/>
        <v>101856.06</v>
      </c>
      <c r="I21" s="12">
        <f>4250+3850+5013.64+8964.42+8000</f>
        <v>30078.059999999998</v>
      </c>
      <c r="J21" s="12">
        <f t="shared" si="13"/>
        <v>0</v>
      </c>
      <c r="K21" s="12">
        <f>4250+3850+8964.42+5013.64+8000</f>
        <v>30078.059999999998</v>
      </c>
      <c r="L21" s="12">
        <f t="shared" si="11"/>
        <v>-71778</v>
      </c>
      <c r="M21" s="163">
        <f>96744.27+5949.48+13431-I21</f>
        <v>86046.69</v>
      </c>
      <c r="N21" s="12">
        <f t="shared" si="12"/>
        <v>116124.75</v>
      </c>
      <c r="O21" s="12">
        <f t="shared" si="9"/>
        <v>14268.690000000002</v>
      </c>
      <c r="P21" s="182" t="s">
        <v>177</v>
      </c>
    </row>
    <row r="22" spans="2:16" x14ac:dyDescent="0.25">
      <c r="B22" s="81">
        <v>39901</v>
      </c>
      <c r="C22" s="53" t="s">
        <v>149</v>
      </c>
      <c r="D22" s="54"/>
      <c r="E22" s="54"/>
      <c r="F22" s="55">
        <f>SUM(F23:F26)</f>
        <v>0</v>
      </c>
      <c r="G22" s="55">
        <f t="shared" ref="G22:M22" si="14">SUM(G23:G26)</f>
        <v>0</v>
      </c>
      <c r="H22" s="55">
        <f t="shared" si="14"/>
        <v>0</v>
      </c>
      <c r="I22" s="55">
        <f t="shared" si="14"/>
        <v>14413</v>
      </c>
      <c r="J22" s="55">
        <f t="shared" si="14"/>
        <v>0</v>
      </c>
      <c r="K22" s="55">
        <f t="shared" si="14"/>
        <v>14413</v>
      </c>
      <c r="L22" s="55">
        <f t="shared" si="14"/>
        <v>14413</v>
      </c>
      <c r="M22" s="55">
        <f t="shared" si="14"/>
        <v>391064.45</v>
      </c>
      <c r="N22" s="55">
        <f>I22+M22</f>
        <v>405477.45</v>
      </c>
      <c r="O22" s="55">
        <f t="shared" si="9"/>
        <v>405477.45</v>
      </c>
      <c r="P22" s="179"/>
    </row>
    <row r="23" spans="2:16" x14ac:dyDescent="0.25">
      <c r="B23" s="82"/>
      <c r="C23" s="68"/>
      <c r="D23" s="74" t="s">
        <v>129</v>
      </c>
      <c r="E23" s="74" t="s">
        <v>121</v>
      </c>
      <c r="F23" s="112">
        <v>0</v>
      </c>
      <c r="G23" s="12">
        <v>0</v>
      </c>
      <c r="H23" s="12">
        <f t="shared" ref="H23:H26" si="15">F23+G23</f>
        <v>0</v>
      </c>
      <c r="I23" s="12">
        <v>0</v>
      </c>
      <c r="J23" s="12">
        <f t="shared" ref="J23:J26" si="16">I23-K23</f>
        <v>0</v>
      </c>
      <c r="K23" s="12">
        <v>0</v>
      </c>
      <c r="L23" s="12">
        <f t="shared" ref="L23:L26" si="17">I23-H23</f>
        <v>0</v>
      </c>
      <c r="M23" s="12">
        <v>261926.16</v>
      </c>
      <c r="N23" s="12">
        <f t="shared" si="12"/>
        <v>261926.16</v>
      </c>
      <c r="O23" s="171">
        <f t="shared" si="9"/>
        <v>261926.16</v>
      </c>
      <c r="P23" s="177" t="s">
        <v>173</v>
      </c>
    </row>
    <row r="24" spans="2:16" x14ac:dyDescent="0.25">
      <c r="D24" s="74" t="s">
        <v>130</v>
      </c>
      <c r="E24" s="74" t="s">
        <v>122</v>
      </c>
      <c r="F24" s="12">
        <v>0</v>
      </c>
      <c r="G24" s="12">
        <v>0</v>
      </c>
      <c r="H24" s="12">
        <f t="shared" si="15"/>
        <v>0</v>
      </c>
      <c r="I24" s="12">
        <v>0</v>
      </c>
      <c r="J24" s="12">
        <f t="shared" si="16"/>
        <v>0</v>
      </c>
      <c r="K24" s="12">
        <v>0</v>
      </c>
      <c r="L24" s="12">
        <f t="shared" si="17"/>
        <v>0</v>
      </c>
      <c r="M24" s="12">
        <v>87308.72</v>
      </c>
      <c r="N24" s="12">
        <f t="shared" si="12"/>
        <v>87308.72</v>
      </c>
      <c r="O24" s="172">
        <f t="shared" si="9"/>
        <v>87308.72</v>
      </c>
      <c r="P24" s="177" t="s">
        <v>173</v>
      </c>
    </row>
    <row r="25" spans="2:16" x14ac:dyDescent="0.25">
      <c r="D25" s="74" t="s">
        <v>123</v>
      </c>
      <c r="E25" s="74" t="s">
        <v>122</v>
      </c>
      <c r="F25" s="12">
        <v>0</v>
      </c>
      <c r="G25" s="174">
        <v>0</v>
      </c>
      <c r="H25" s="12">
        <f t="shared" si="15"/>
        <v>0</v>
      </c>
      <c r="I25" s="12">
        <v>14413</v>
      </c>
      <c r="J25" s="12">
        <f t="shared" si="16"/>
        <v>0</v>
      </c>
      <c r="K25" s="12">
        <f>14413</f>
        <v>14413</v>
      </c>
      <c r="L25" s="12">
        <f t="shared" si="17"/>
        <v>14413</v>
      </c>
      <c r="M25" s="12">
        <f>35234.05-I25</f>
        <v>20821.050000000003</v>
      </c>
      <c r="N25" s="12">
        <f>I25+M25</f>
        <v>35234.050000000003</v>
      </c>
      <c r="O25" s="173">
        <f t="shared" si="9"/>
        <v>35234.050000000003</v>
      </c>
      <c r="P25" s="177" t="s">
        <v>173</v>
      </c>
    </row>
    <row r="26" spans="2:16" x14ac:dyDescent="0.25">
      <c r="C26" s="2"/>
      <c r="D26" s="74" t="s">
        <v>77</v>
      </c>
      <c r="E26" s="74" t="s">
        <v>78</v>
      </c>
      <c r="F26" s="12">
        <v>0</v>
      </c>
      <c r="G26" s="174">
        <v>0</v>
      </c>
      <c r="H26" s="12">
        <f t="shared" si="15"/>
        <v>0</v>
      </c>
      <c r="I26" s="12">
        <v>0</v>
      </c>
      <c r="J26" s="12">
        <f t="shared" si="16"/>
        <v>0</v>
      </c>
      <c r="K26" s="12">
        <v>0</v>
      </c>
      <c r="L26" s="12">
        <f t="shared" si="17"/>
        <v>0</v>
      </c>
      <c r="M26" s="12">
        <f>12000+9008.52</f>
        <v>21008.52</v>
      </c>
      <c r="N26" s="12">
        <f>I26+M26</f>
        <v>21008.52</v>
      </c>
      <c r="O26" s="12">
        <f t="shared" si="9"/>
        <v>21008.52</v>
      </c>
      <c r="P26" s="177" t="s">
        <v>175</v>
      </c>
    </row>
    <row r="27" spans="2:16" x14ac:dyDescent="0.25">
      <c r="B27" s="81">
        <v>39902</v>
      </c>
      <c r="C27" s="53" t="s">
        <v>148</v>
      </c>
      <c r="D27" s="54"/>
      <c r="E27" s="54"/>
      <c r="F27" s="55">
        <f>SUM(F28:F29)</f>
        <v>0</v>
      </c>
      <c r="G27" s="55">
        <f>SUM(G28:G29)</f>
        <v>15500</v>
      </c>
      <c r="H27" s="55">
        <f t="shared" ref="H27:M27" si="18">SUM(H28:H29)</f>
        <v>15500</v>
      </c>
      <c r="I27" s="55">
        <f t="shared" si="18"/>
        <v>212826.96000000002</v>
      </c>
      <c r="J27" s="55">
        <f t="shared" si="18"/>
        <v>0</v>
      </c>
      <c r="K27" s="55">
        <f t="shared" si="18"/>
        <v>212826.96000000002</v>
      </c>
      <c r="L27" s="55">
        <f t="shared" si="18"/>
        <v>197326.96000000002</v>
      </c>
      <c r="M27" s="55">
        <f t="shared" si="18"/>
        <v>116113.44</v>
      </c>
      <c r="N27" s="55">
        <f>I27+M27</f>
        <v>328940.40000000002</v>
      </c>
      <c r="O27" s="55">
        <f t="shared" ref="O27:O29" si="19">N27-H27</f>
        <v>313440.40000000002</v>
      </c>
    </row>
    <row r="28" spans="2:16" x14ac:dyDescent="0.25">
      <c r="B28" s="82"/>
      <c r="C28" s="68"/>
      <c r="D28" s="73" t="s">
        <v>106</v>
      </c>
      <c r="E28" s="74" t="s">
        <v>105</v>
      </c>
      <c r="F28" s="112">
        <v>0</v>
      </c>
      <c r="G28" s="12">
        <v>15500</v>
      </c>
      <c r="H28" s="170">
        <f>F28+G28</f>
        <v>15500</v>
      </c>
      <c r="I28" s="12">
        <f>25311.7*6+26603.36*2+7750.04</f>
        <v>212826.96000000002</v>
      </c>
      <c r="J28" s="12">
        <f>I28-K28</f>
        <v>0</v>
      </c>
      <c r="K28" s="12">
        <f>25311.7*6+26603.36*2+7750.04</f>
        <v>212826.96000000002</v>
      </c>
      <c r="L28" s="12">
        <f>I28-H28</f>
        <v>197326.96000000002</v>
      </c>
      <c r="M28" s="12">
        <f>26603.36*4</f>
        <v>106413.44</v>
      </c>
      <c r="N28" s="170">
        <f t="shared" ref="N28:N29" si="20">I28+M28</f>
        <v>319240.40000000002</v>
      </c>
      <c r="O28" s="169">
        <f>N28-H28</f>
        <v>303740.40000000002</v>
      </c>
    </row>
    <row r="29" spans="2:16" x14ac:dyDescent="0.25">
      <c r="B29" s="82"/>
      <c r="C29" s="180"/>
      <c r="D29" s="74" t="s">
        <v>77</v>
      </c>
      <c r="E29" s="74" t="s">
        <v>78</v>
      </c>
      <c r="F29" s="12">
        <v>0</v>
      </c>
      <c r="G29" s="174">
        <v>0</v>
      </c>
      <c r="H29" s="12">
        <f>F29+G29</f>
        <v>0</v>
      </c>
      <c r="I29" s="12">
        <v>0</v>
      </c>
      <c r="J29" s="12">
        <f>I29-K29</f>
        <v>0</v>
      </c>
      <c r="K29" s="12">
        <v>0</v>
      </c>
      <c r="L29" s="12">
        <f>I29-H29</f>
        <v>0</v>
      </c>
      <c r="M29" s="12">
        <v>9700</v>
      </c>
      <c r="N29" s="12">
        <f t="shared" si="20"/>
        <v>9700</v>
      </c>
      <c r="O29" s="12">
        <f t="shared" si="19"/>
        <v>9700</v>
      </c>
      <c r="P29" s="177" t="s">
        <v>176</v>
      </c>
    </row>
    <row r="30" spans="2:16" x14ac:dyDescent="0.25">
      <c r="F30" s="27"/>
    </row>
    <row r="31" spans="2:16" x14ac:dyDescent="0.25">
      <c r="D31" s="121" t="s">
        <v>124</v>
      </c>
    </row>
  </sheetData>
  <printOptions horizontalCentered="1"/>
  <pageMargins left="0" right="0" top="0.39370078740157483" bottom="0.39370078740157483" header="0.31496062992125984" footer="0.15748031496062992"/>
  <pageSetup paperSize="9" scale="63" fitToHeight="0" orientation="landscape" r:id="rId1"/>
  <headerFooter>
    <oddFooter>&amp;CSeguiment pressupost 2020 IERMB _ 30-09-2020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M19" sqref="M19"/>
    </sheetView>
  </sheetViews>
  <sheetFormatPr baseColWidth="10" defaultRowHeight="15" x14ac:dyDescent="0.25"/>
  <cols>
    <col min="1" max="1" width="1.85546875" customWidth="1"/>
    <col min="2" max="2" width="10.7109375" customWidth="1"/>
    <col min="3" max="3" width="7.42578125" customWidth="1"/>
    <col min="4" max="4" width="46.7109375" customWidth="1"/>
    <col min="5" max="5" width="5.140625" customWidth="1"/>
    <col min="6" max="6" width="18.85546875" customWidth="1"/>
    <col min="7" max="7" width="14.140625" customWidth="1"/>
    <col min="8" max="8" width="15.42578125" customWidth="1"/>
    <col min="9" max="9" width="17.5703125" customWidth="1"/>
    <col min="10" max="10" width="16.5703125" hidden="1" customWidth="1"/>
    <col min="11" max="11" width="18.5703125" hidden="1" customWidth="1"/>
    <col min="12" max="12" width="17.140625" hidden="1" customWidth="1"/>
    <col min="13" max="15" width="17.140625" customWidth="1"/>
  </cols>
  <sheetData>
    <row r="1" spans="1:15" x14ac:dyDescent="0.25">
      <c r="A1" s="4"/>
    </row>
    <row r="2" spans="1:15" ht="15.75" customHeight="1" thickBot="1" x14ac:dyDescent="0.3">
      <c r="A2" s="4"/>
    </row>
    <row r="3" spans="1:15" s="19" customFormat="1" ht="18" thickBot="1" x14ac:dyDescent="0.35">
      <c r="A3" s="45" t="s">
        <v>102</v>
      </c>
      <c r="B3" s="46"/>
      <c r="C3" s="46"/>
      <c r="D3" s="46"/>
      <c r="E3" s="46"/>
      <c r="F3" s="89">
        <f>F7</f>
        <v>1685643</v>
      </c>
      <c r="G3" s="89">
        <f t="shared" ref="G3:O3" si="0">G7</f>
        <v>189621.77</v>
      </c>
      <c r="H3" s="89">
        <f t="shared" si="0"/>
        <v>1875264.7699999998</v>
      </c>
      <c r="I3" s="89">
        <f t="shared" si="0"/>
        <v>1642925.12</v>
      </c>
      <c r="J3" s="89">
        <f t="shared" si="0"/>
        <v>461627.78</v>
      </c>
      <c r="K3" s="89">
        <f t="shared" si="0"/>
        <v>1181297.3400000001</v>
      </c>
      <c r="L3" s="89">
        <f t="shared" si="0"/>
        <v>-232339.64999999976</v>
      </c>
      <c r="M3" s="89">
        <f t="shared" si="0"/>
        <v>84990.66</v>
      </c>
      <c r="N3" s="89">
        <f t="shared" si="0"/>
        <v>1745415.78</v>
      </c>
      <c r="O3" s="89">
        <f t="shared" si="0"/>
        <v>-135973.98999999976</v>
      </c>
    </row>
    <row r="4" spans="1:15" ht="15.75" thickBot="1" x14ac:dyDescent="0.3">
      <c r="A4" s="4"/>
    </row>
    <row r="5" spans="1:15" s="30" customFormat="1" ht="48.75" customHeight="1" thickBot="1" x14ac:dyDescent="0.3">
      <c r="A5" s="47"/>
      <c r="B5" s="29" t="s">
        <v>62</v>
      </c>
      <c r="C5" s="76"/>
      <c r="D5" s="85" t="s">
        <v>3</v>
      </c>
      <c r="E5" s="79"/>
      <c r="F5" s="80" t="s">
        <v>83</v>
      </c>
      <c r="G5" s="102" t="s">
        <v>132</v>
      </c>
      <c r="H5" s="102" t="s">
        <v>133</v>
      </c>
      <c r="I5" s="125" t="s">
        <v>163</v>
      </c>
      <c r="J5" s="126" t="s">
        <v>134</v>
      </c>
      <c r="K5" s="127" t="s">
        <v>135</v>
      </c>
      <c r="L5" s="128" t="s">
        <v>136</v>
      </c>
      <c r="M5" s="128" t="s">
        <v>156</v>
      </c>
      <c r="N5" s="128" t="s">
        <v>162</v>
      </c>
      <c r="O5" s="128" t="s">
        <v>157</v>
      </c>
    </row>
    <row r="6" spans="1:15" x14ac:dyDescent="0.25">
      <c r="A6" s="4"/>
    </row>
    <row r="7" spans="1:15" ht="15.75" thickBot="1" x14ac:dyDescent="0.3">
      <c r="A7" s="4"/>
      <c r="B7" s="49">
        <v>4</v>
      </c>
      <c r="C7" s="50" t="s">
        <v>55</v>
      </c>
      <c r="D7" s="51"/>
      <c r="E7" s="51"/>
      <c r="F7" s="52">
        <f>F8+F10+F15+F17+F20+F12</f>
        <v>1685643</v>
      </c>
      <c r="G7" s="52">
        <f t="shared" ref="G7:J7" si="1">G8+G10+G15+G17+G20+G12</f>
        <v>189621.77</v>
      </c>
      <c r="H7" s="52">
        <f t="shared" si="1"/>
        <v>1875264.7699999998</v>
      </c>
      <c r="I7" s="52">
        <f t="shared" si="1"/>
        <v>1642925.12</v>
      </c>
      <c r="J7" s="52">
        <f t="shared" si="1"/>
        <v>461627.78</v>
      </c>
      <c r="K7" s="52">
        <f>K8+K10+K15+K17+K20+K12</f>
        <v>1181297.3400000001</v>
      </c>
      <c r="L7" s="52">
        <f t="shared" ref="L7:O7" si="2">L8+L10+L15+L17+L20+L12</f>
        <v>-232339.64999999976</v>
      </c>
      <c r="M7" s="52">
        <f t="shared" si="2"/>
        <v>84990.66</v>
      </c>
      <c r="N7" s="52">
        <f>N8+N10+N15+N17+N20+N12</f>
        <v>1745415.78</v>
      </c>
      <c r="O7" s="52">
        <f t="shared" si="2"/>
        <v>-135973.98999999976</v>
      </c>
    </row>
    <row r="8" spans="1:15" ht="15.75" thickTop="1" x14ac:dyDescent="0.25">
      <c r="B8" s="86">
        <v>42090</v>
      </c>
      <c r="C8" s="16" t="s">
        <v>152</v>
      </c>
      <c r="D8" s="17"/>
      <c r="E8" s="17"/>
      <c r="F8" s="25">
        <f>SUM(F9)</f>
        <v>0</v>
      </c>
      <c r="G8" s="25">
        <f t="shared" ref="G8:O10" si="3">SUM(G9)</f>
        <v>0</v>
      </c>
      <c r="H8" s="25">
        <f t="shared" si="3"/>
        <v>0</v>
      </c>
      <c r="I8" s="25">
        <f t="shared" si="3"/>
        <v>2420</v>
      </c>
      <c r="J8" s="25">
        <f t="shared" si="3"/>
        <v>0</v>
      </c>
      <c r="K8" s="25">
        <f t="shared" si="3"/>
        <v>2420</v>
      </c>
      <c r="L8" s="25">
        <f t="shared" si="3"/>
        <v>2420</v>
      </c>
      <c r="M8" s="25">
        <f t="shared" si="3"/>
        <v>0</v>
      </c>
      <c r="N8" s="25">
        <f>SUM(N9)</f>
        <v>2420</v>
      </c>
      <c r="O8" s="25">
        <f t="shared" si="3"/>
        <v>2420</v>
      </c>
    </row>
    <row r="9" spans="1:15" x14ac:dyDescent="0.25">
      <c r="B9" s="87"/>
      <c r="C9" s="2"/>
      <c r="D9" s="14" t="s">
        <v>153</v>
      </c>
      <c r="E9" s="14"/>
      <c r="F9" s="109">
        <v>0</v>
      </c>
      <c r="G9" s="12">
        <v>0</v>
      </c>
      <c r="H9" s="12">
        <f>F9+G9</f>
        <v>0</v>
      </c>
      <c r="I9" s="12">
        <v>2420</v>
      </c>
      <c r="J9" s="12">
        <f>I9-K9</f>
        <v>0</v>
      </c>
      <c r="K9" s="12">
        <v>2420</v>
      </c>
      <c r="L9" s="12">
        <f>I9-H9</f>
        <v>2420</v>
      </c>
      <c r="M9" s="12">
        <v>0</v>
      </c>
      <c r="N9" s="12">
        <f>I9+M9</f>
        <v>2420</v>
      </c>
      <c r="O9" s="12">
        <f>N9-H9</f>
        <v>2420</v>
      </c>
    </row>
    <row r="10" spans="1:15" x14ac:dyDescent="0.25">
      <c r="B10" s="86">
        <v>45080</v>
      </c>
      <c r="C10" s="16" t="s">
        <v>5</v>
      </c>
      <c r="D10" s="17"/>
      <c r="E10" s="17"/>
      <c r="F10" s="25">
        <f>SUM(F11)</f>
        <v>37500</v>
      </c>
      <c r="G10" s="25">
        <f t="shared" si="3"/>
        <v>0</v>
      </c>
      <c r="H10" s="25">
        <f t="shared" si="3"/>
        <v>37500</v>
      </c>
      <c r="I10" s="25">
        <f t="shared" si="3"/>
        <v>0</v>
      </c>
      <c r="J10" s="25">
        <f t="shared" si="3"/>
        <v>0</v>
      </c>
      <c r="K10" s="25">
        <f t="shared" si="3"/>
        <v>0</v>
      </c>
      <c r="L10" s="25">
        <f t="shared" si="3"/>
        <v>-37500</v>
      </c>
      <c r="M10" s="25">
        <f>SUM(M11:M11)</f>
        <v>37500</v>
      </c>
      <c r="N10" s="25">
        <f>SUM(N11:N11)</f>
        <v>37500</v>
      </c>
      <c r="O10" s="25">
        <f>SUM(O11:O11)</f>
        <v>0</v>
      </c>
    </row>
    <row r="11" spans="1:15" x14ac:dyDescent="0.25">
      <c r="B11" s="87"/>
      <c r="C11" s="2"/>
      <c r="D11" s="14" t="s">
        <v>81</v>
      </c>
      <c r="E11" s="14"/>
      <c r="F11" s="109">
        <v>37500</v>
      </c>
      <c r="G11" s="12">
        <v>0</v>
      </c>
      <c r="H11" s="12">
        <f>F11+G11</f>
        <v>37500</v>
      </c>
      <c r="I11" s="12">
        <v>0</v>
      </c>
      <c r="J11" s="12">
        <f>I11-K11</f>
        <v>0</v>
      </c>
      <c r="K11" s="12">
        <v>0</v>
      </c>
      <c r="L11" s="12">
        <f>I11-H11</f>
        <v>-37500</v>
      </c>
      <c r="M11" s="12">
        <v>37500</v>
      </c>
      <c r="N11" s="12">
        <f>I11+M11</f>
        <v>37500</v>
      </c>
      <c r="O11" s="12">
        <f>N11-H11</f>
        <v>0</v>
      </c>
    </row>
    <row r="12" spans="1:15" x14ac:dyDescent="0.25">
      <c r="B12" s="84">
        <v>45300</v>
      </c>
      <c r="C12" s="18" t="s">
        <v>7</v>
      </c>
      <c r="D12" s="17"/>
      <c r="E12" s="17"/>
      <c r="F12" s="25">
        <f>SUM(F13:F14)</f>
        <v>21423</v>
      </c>
      <c r="G12" s="25">
        <f t="shared" ref="G12:M12" si="4">SUM(G13:G14)</f>
        <v>9990.66</v>
      </c>
      <c r="H12" s="25">
        <f t="shared" si="4"/>
        <v>31413.66</v>
      </c>
      <c r="I12" s="25">
        <f t="shared" si="4"/>
        <v>21423</v>
      </c>
      <c r="J12" s="25">
        <f t="shared" si="4"/>
        <v>0</v>
      </c>
      <c r="K12" s="25">
        <f t="shared" si="4"/>
        <v>21423</v>
      </c>
      <c r="L12" s="25">
        <f t="shared" si="4"/>
        <v>-9990.66</v>
      </c>
      <c r="M12" s="25">
        <f t="shared" si="4"/>
        <v>9990.66</v>
      </c>
      <c r="N12" s="25">
        <f>SUM(N13:N14)</f>
        <v>31413.66</v>
      </c>
      <c r="O12" s="25">
        <f>SUM(O13:O14)</f>
        <v>0</v>
      </c>
    </row>
    <row r="13" spans="1:15" x14ac:dyDescent="0.25">
      <c r="B13" s="88"/>
      <c r="C13" s="8"/>
      <c r="D13" s="15" t="s">
        <v>50</v>
      </c>
      <c r="E13" s="15"/>
      <c r="F13" s="110">
        <v>21423</v>
      </c>
      <c r="G13" s="12">
        <v>0</v>
      </c>
      <c r="H13" s="12">
        <f>F13+G13</f>
        <v>21423</v>
      </c>
      <c r="I13" s="12">
        <v>21423</v>
      </c>
      <c r="J13" s="12">
        <f>I13-K13</f>
        <v>0</v>
      </c>
      <c r="K13" s="12">
        <v>21423</v>
      </c>
      <c r="L13" s="12">
        <f>I13-H13</f>
        <v>0</v>
      </c>
      <c r="M13" s="12">
        <v>0</v>
      </c>
      <c r="N13" s="12">
        <f>I13+M13</f>
        <v>21423</v>
      </c>
      <c r="O13" s="12">
        <f>N13-H13</f>
        <v>0</v>
      </c>
    </row>
    <row r="14" spans="1:15" x14ac:dyDescent="0.25">
      <c r="B14" s="88"/>
      <c r="C14" s="165"/>
      <c r="D14" s="14" t="s">
        <v>168</v>
      </c>
      <c r="E14" s="14"/>
      <c r="F14" s="166">
        <v>0</v>
      </c>
      <c r="G14" s="109">
        <v>9990.66</v>
      </c>
      <c r="H14" s="12">
        <f>F14+G14</f>
        <v>9990.66</v>
      </c>
      <c r="I14" s="109">
        <v>0</v>
      </c>
      <c r="J14" s="12">
        <f>I14-K14</f>
        <v>0</v>
      </c>
      <c r="K14" s="12">
        <v>0</v>
      </c>
      <c r="L14" s="12">
        <f>I14-H14</f>
        <v>-9990.66</v>
      </c>
      <c r="M14" s="109">
        <v>9990.66</v>
      </c>
      <c r="N14" s="12">
        <f>I14+M14</f>
        <v>9990.66</v>
      </c>
      <c r="O14" s="109"/>
    </row>
    <row r="15" spans="1:15" x14ac:dyDescent="0.25">
      <c r="B15" s="84">
        <v>46101</v>
      </c>
      <c r="C15" s="18" t="s">
        <v>0</v>
      </c>
      <c r="D15" s="17"/>
      <c r="E15" s="17"/>
      <c r="F15" s="25">
        <f t="shared" ref="F15:L15" si="5">SUM(F16:F16)</f>
        <v>37500</v>
      </c>
      <c r="G15" s="25">
        <f t="shared" si="5"/>
        <v>0</v>
      </c>
      <c r="H15" s="25">
        <f t="shared" si="5"/>
        <v>37500</v>
      </c>
      <c r="I15" s="25">
        <f t="shared" si="5"/>
        <v>0</v>
      </c>
      <c r="J15" s="25">
        <f t="shared" si="5"/>
        <v>0</v>
      </c>
      <c r="K15" s="25">
        <f t="shared" si="5"/>
        <v>0</v>
      </c>
      <c r="L15" s="25">
        <f t="shared" si="5"/>
        <v>-37500</v>
      </c>
      <c r="M15" s="25">
        <f>SUM(M16)</f>
        <v>37500</v>
      </c>
      <c r="N15" s="25">
        <f>SUM(N16)</f>
        <v>37500</v>
      </c>
      <c r="O15" s="25">
        <f>SUM(O16)</f>
        <v>0</v>
      </c>
    </row>
    <row r="16" spans="1:15" x14ac:dyDescent="0.25">
      <c r="B16" s="88"/>
      <c r="C16" s="1"/>
      <c r="D16" s="14" t="s">
        <v>81</v>
      </c>
      <c r="E16" s="13"/>
      <c r="F16" s="111">
        <v>37500</v>
      </c>
      <c r="G16" s="12">
        <v>0</v>
      </c>
      <c r="H16" s="12">
        <f>F16+G16</f>
        <v>37500</v>
      </c>
      <c r="I16" s="12">
        <v>0</v>
      </c>
      <c r="J16" s="12">
        <f>I16-K16</f>
        <v>0</v>
      </c>
      <c r="K16" s="12">
        <v>0</v>
      </c>
      <c r="L16" s="12">
        <f>I16-H16</f>
        <v>-37500</v>
      </c>
      <c r="M16" s="12">
        <v>37500</v>
      </c>
      <c r="N16" s="12">
        <f t="shared" ref="N16:N21" si="6">I16+M16</f>
        <v>37500</v>
      </c>
      <c r="O16" s="12">
        <f>N16-H16</f>
        <v>0</v>
      </c>
    </row>
    <row r="17" spans="2:16" x14ac:dyDescent="0.25">
      <c r="B17" s="84">
        <v>46201</v>
      </c>
      <c r="C17" s="18" t="s">
        <v>6</v>
      </c>
      <c r="D17" s="17"/>
      <c r="E17" s="17"/>
      <c r="F17" s="25">
        <f>SUM(F18:F19)</f>
        <v>79220</v>
      </c>
      <c r="G17" s="25">
        <f t="shared" ref="G17:L17" si="7">SUM(G18:G19)</f>
        <v>0</v>
      </c>
      <c r="H17" s="25">
        <f>SUM(H18:H19)</f>
        <v>79220</v>
      </c>
      <c r="I17" s="25">
        <f>SUM(I18:I19)</f>
        <v>79220</v>
      </c>
      <c r="J17" s="25">
        <f t="shared" si="7"/>
        <v>79220</v>
      </c>
      <c r="K17" s="25">
        <f t="shared" si="7"/>
        <v>0</v>
      </c>
      <c r="L17" s="25">
        <f t="shared" si="7"/>
        <v>0</v>
      </c>
      <c r="M17" s="25">
        <f>SUM(M18)</f>
        <v>0</v>
      </c>
      <c r="N17" s="25">
        <f>SUM(N18:N19)</f>
        <v>85345</v>
      </c>
      <c r="O17" s="25">
        <f>SUM(O18)</f>
        <v>0</v>
      </c>
    </row>
    <row r="18" spans="2:16" x14ac:dyDescent="0.25">
      <c r="B18" s="88"/>
      <c r="C18" s="11"/>
      <c r="D18" s="15" t="s">
        <v>49</v>
      </c>
      <c r="E18" s="15"/>
      <c r="F18" s="110">
        <v>73970</v>
      </c>
      <c r="G18" s="12">
        <v>0</v>
      </c>
      <c r="H18" s="12">
        <f t="shared" ref="H18:H19" si="8">F18+G18</f>
        <v>73970</v>
      </c>
      <c r="I18" s="109">
        <v>73970</v>
      </c>
      <c r="J18" s="133">
        <f t="shared" ref="J18:J19" si="9">I18-K18</f>
        <v>73970</v>
      </c>
      <c r="K18" s="109">
        <v>0</v>
      </c>
      <c r="L18" s="12">
        <f t="shared" ref="L18:L19" si="10">I18-H18</f>
        <v>0</v>
      </c>
      <c r="M18" s="12">
        <v>0</v>
      </c>
      <c r="N18" s="12">
        <f t="shared" si="6"/>
        <v>73970</v>
      </c>
      <c r="O18" s="12">
        <f>N18-H18</f>
        <v>0</v>
      </c>
    </row>
    <row r="19" spans="2:16" x14ac:dyDescent="0.25">
      <c r="B19" s="88"/>
      <c r="C19" s="106"/>
      <c r="D19" s="105" t="s">
        <v>77</v>
      </c>
      <c r="E19" s="14"/>
      <c r="F19" s="109">
        <f>5250</f>
        <v>5250</v>
      </c>
      <c r="G19" s="12">
        <v>0</v>
      </c>
      <c r="H19" s="12">
        <f t="shared" si="8"/>
        <v>5250</v>
      </c>
      <c r="I19" s="174">
        <v>5250</v>
      </c>
      <c r="J19" s="12">
        <f t="shared" si="9"/>
        <v>5250</v>
      </c>
      <c r="K19" s="12">
        <v>0</v>
      </c>
      <c r="L19" s="12">
        <f t="shared" si="10"/>
        <v>0</v>
      </c>
      <c r="M19" s="163">
        <v>6125</v>
      </c>
      <c r="N19" s="12">
        <f t="shared" si="6"/>
        <v>11375</v>
      </c>
      <c r="O19" s="12">
        <f>N19-H19</f>
        <v>6125</v>
      </c>
      <c r="P19" s="177" t="s">
        <v>174</v>
      </c>
    </row>
    <row r="20" spans="2:16" x14ac:dyDescent="0.25">
      <c r="B20" s="84">
        <v>46401</v>
      </c>
      <c r="C20" s="18" t="s">
        <v>1</v>
      </c>
      <c r="D20" s="17"/>
      <c r="E20" s="17"/>
      <c r="F20" s="25">
        <f t="shared" ref="F20:K20" si="11">SUM(F21:F22)</f>
        <v>1510000</v>
      </c>
      <c r="G20" s="25">
        <f t="shared" si="11"/>
        <v>179631.11</v>
      </c>
      <c r="H20" s="25">
        <f t="shared" si="11"/>
        <v>1689631.1099999999</v>
      </c>
      <c r="I20" s="25">
        <f t="shared" si="11"/>
        <v>1539862.12</v>
      </c>
      <c r="J20" s="25">
        <f t="shared" si="11"/>
        <v>382407.78</v>
      </c>
      <c r="K20" s="25">
        <f t="shared" si="11"/>
        <v>1157454.3400000001</v>
      </c>
      <c r="L20" s="25">
        <f>SUM(L21:L22)</f>
        <v>-149768.98999999976</v>
      </c>
      <c r="M20" s="25">
        <f>SUM(M21)</f>
        <v>0</v>
      </c>
      <c r="N20" s="25">
        <f>SUM(N21:N22)</f>
        <v>1551237.1200000001</v>
      </c>
      <c r="O20" s="168">
        <f>N20-H20</f>
        <v>-138393.98999999976</v>
      </c>
    </row>
    <row r="21" spans="2:16" x14ac:dyDescent="0.25">
      <c r="B21" s="88"/>
      <c r="C21" s="69"/>
      <c r="D21" s="70" t="s">
        <v>104</v>
      </c>
      <c r="E21" s="71"/>
      <c r="F21" s="113">
        <v>1350000</v>
      </c>
      <c r="G21" s="12">
        <v>179631.11</v>
      </c>
      <c r="H21" s="12">
        <f t="shared" ref="H21:H24" si="12">F21+G21</f>
        <v>1529631.1099999999</v>
      </c>
      <c r="I21" s="113">
        <f>382407.78*4</f>
        <v>1529631.12</v>
      </c>
      <c r="J21" s="113">
        <f t="shared" ref="J21" si="13">I21-K21</f>
        <v>382407.78</v>
      </c>
      <c r="K21" s="113">
        <f>382407.78*3</f>
        <v>1147223.3400000001</v>
      </c>
      <c r="L21" s="12">
        <f>I21-H21</f>
        <v>1.0000000242143869E-2</v>
      </c>
      <c r="M21" s="12">
        <v>0</v>
      </c>
      <c r="N21" s="12">
        <f t="shared" si="6"/>
        <v>1529631.12</v>
      </c>
      <c r="O21" s="12">
        <f>N21-H21</f>
        <v>1.0000000242143869E-2</v>
      </c>
    </row>
    <row r="22" spans="2:16" x14ac:dyDescent="0.25">
      <c r="B22" s="88"/>
      <c r="C22" s="7"/>
      <c r="D22" s="72" t="s">
        <v>77</v>
      </c>
      <c r="E22" s="73"/>
      <c r="F22" s="12">
        <f>10000+150000</f>
        <v>160000</v>
      </c>
      <c r="G22" s="12">
        <v>0</v>
      </c>
      <c r="H22" s="12">
        <f t="shared" si="12"/>
        <v>160000</v>
      </c>
      <c r="I22" s="12">
        <f>I24</f>
        <v>10231</v>
      </c>
      <c r="J22" s="12">
        <f>SUM(J24:J28)</f>
        <v>0</v>
      </c>
      <c r="K22" s="12">
        <f>SUM(K24:K28)</f>
        <v>10231</v>
      </c>
      <c r="L22" s="12">
        <f>I22-H22</f>
        <v>-149769</v>
      </c>
      <c r="M22" s="163">
        <v>11375</v>
      </c>
      <c r="N22" s="12">
        <f>I22+M22</f>
        <v>21606</v>
      </c>
      <c r="O22" s="12">
        <f>N22-H22</f>
        <v>-138394</v>
      </c>
      <c r="P22" s="177" t="s">
        <v>174</v>
      </c>
    </row>
    <row r="23" spans="2:16" ht="6.75" customHeight="1" x14ac:dyDescent="0.25">
      <c r="B23" s="88"/>
      <c r="C23" s="7"/>
      <c r="D23" s="72"/>
      <c r="E23" s="73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2:16" s="142" customFormat="1" x14ac:dyDescent="0.25">
      <c r="B24" s="143"/>
      <c r="C24" s="144"/>
      <c r="D24" s="147" t="s">
        <v>154</v>
      </c>
      <c r="E24" s="145"/>
      <c r="F24" s="146">
        <v>0</v>
      </c>
      <c r="G24" s="146">
        <v>0</v>
      </c>
      <c r="H24" s="146">
        <f t="shared" si="12"/>
        <v>0</v>
      </c>
      <c r="I24" s="146">
        <v>10231</v>
      </c>
      <c r="J24" s="146">
        <f t="shared" ref="J24" si="14">I24-K24</f>
        <v>0</v>
      </c>
      <c r="K24" s="146">
        <v>10231</v>
      </c>
      <c r="L24" s="146">
        <f>I24-H24</f>
        <v>10231</v>
      </c>
      <c r="M24" s="146"/>
      <c r="N24" s="12">
        <f>I24+M24</f>
        <v>10231</v>
      </c>
      <c r="O24" s="146">
        <f>N24-H24</f>
        <v>10231</v>
      </c>
      <c r="P24" s="181" t="s">
        <v>159</v>
      </c>
    </row>
    <row r="25" spans="2:16" x14ac:dyDescent="0.25">
      <c r="B25" s="88"/>
      <c r="C25" s="67"/>
      <c r="D25" s="148"/>
      <c r="E25" s="14"/>
      <c r="F25" s="109"/>
    </row>
    <row r="26" spans="2:16" x14ac:dyDescent="0.25">
      <c r="C26" s="149"/>
      <c r="D26" s="149"/>
      <c r="F26" s="27"/>
    </row>
    <row r="27" spans="2:16" x14ac:dyDescent="0.25">
      <c r="C27" s="149"/>
      <c r="D27" s="149"/>
      <c r="F27" s="27"/>
    </row>
    <row r="28" spans="2:16" x14ac:dyDescent="0.25">
      <c r="C28" s="149"/>
      <c r="D28" s="149"/>
      <c r="F28" s="27"/>
    </row>
    <row r="29" spans="2:16" x14ac:dyDescent="0.25">
      <c r="C29" s="149"/>
      <c r="D29" s="149"/>
      <c r="F29" s="27"/>
    </row>
    <row r="30" spans="2:16" x14ac:dyDescent="0.25">
      <c r="C30" s="149"/>
      <c r="D30" s="149"/>
      <c r="F30" s="27"/>
    </row>
    <row r="31" spans="2:16" x14ac:dyDescent="0.25">
      <c r="C31" s="149"/>
      <c r="D31" s="149"/>
      <c r="F31" s="27"/>
    </row>
  </sheetData>
  <printOptions horizontalCentered="1"/>
  <pageMargins left="0" right="0" top="0.39370078740157483" bottom="0.39370078740157483" header="0.31496062992125984" footer="0.15748031496062992"/>
  <pageSetup paperSize="9" scale="68" fitToHeight="0" orientation="landscape" r:id="rId1"/>
  <headerFooter>
    <oddFooter>&amp;CSeguiment pressupost 2020 IERMB _ 30-09-2020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2"/>
  <sheetViews>
    <sheetView showGridLines="0" zoomScale="85" zoomScaleNormal="85" zoomScaleSheetLayoutView="115" workbookViewId="0">
      <selection activeCell="E42" sqref="E42"/>
    </sheetView>
  </sheetViews>
  <sheetFormatPr baseColWidth="10" defaultRowHeight="15" x14ac:dyDescent="0.25"/>
  <cols>
    <col min="1" max="1" width="3.42578125" customWidth="1"/>
    <col min="2" max="2" width="10.7109375" customWidth="1"/>
    <col min="3" max="3" width="8.5703125" customWidth="1"/>
    <col min="4" max="4" width="40.5703125" customWidth="1"/>
    <col min="5" max="5" width="5.28515625" customWidth="1"/>
    <col min="6" max="6" width="14.85546875" customWidth="1"/>
    <col min="7" max="7" width="16.140625" customWidth="1"/>
    <col min="8" max="8" width="15.42578125" customWidth="1"/>
    <col min="9" max="9" width="16.140625" customWidth="1"/>
    <col min="10" max="10" width="14.7109375" hidden="1" customWidth="1"/>
    <col min="11" max="11" width="0" hidden="1" customWidth="1"/>
    <col min="12" max="12" width="13.7109375" hidden="1" customWidth="1"/>
    <col min="15" max="15" width="14.28515625" customWidth="1"/>
  </cols>
  <sheetData>
    <row r="2" spans="1:15" ht="15.75" thickBot="1" x14ac:dyDescent="0.3"/>
    <row r="3" spans="1:15" s="19" customFormat="1" ht="18" thickBot="1" x14ac:dyDescent="0.35">
      <c r="A3" s="45" t="s">
        <v>63</v>
      </c>
      <c r="B3" s="46"/>
      <c r="C3" s="46"/>
      <c r="D3" s="46"/>
      <c r="E3" s="46"/>
      <c r="F3" s="137">
        <f>F7</f>
        <v>30</v>
      </c>
      <c r="G3" s="89">
        <f t="shared" ref="G3:L3" si="0">G7</f>
        <v>0</v>
      </c>
      <c r="H3" s="89">
        <f t="shared" si="0"/>
        <v>30</v>
      </c>
      <c r="I3" s="89">
        <f t="shared" si="0"/>
        <v>0</v>
      </c>
      <c r="J3" s="89">
        <f t="shared" si="0"/>
        <v>0</v>
      </c>
      <c r="K3" s="89">
        <f t="shared" si="0"/>
        <v>0</v>
      </c>
      <c r="L3" s="89">
        <f t="shared" si="0"/>
        <v>-30</v>
      </c>
      <c r="M3" s="89">
        <f>M7</f>
        <v>0</v>
      </c>
      <c r="N3" s="89">
        <f>N7</f>
        <v>0</v>
      </c>
      <c r="O3" s="89">
        <f>O7</f>
        <v>-30</v>
      </c>
    </row>
    <row r="4" spans="1:15" ht="15.75" thickBot="1" x14ac:dyDescent="0.3"/>
    <row r="5" spans="1:15" s="30" customFormat="1" ht="45.75" thickBot="1" x14ac:dyDescent="0.3">
      <c r="A5" s="47"/>
      <c r="B5" s="29" t="s">
        <v>62</v>
      </c>
      <c r="C5" s="76"/>
      <c r="D5" s="85" t="s">
        <v>3</v>
      </c>
      <c r="E5" s="79"/>
      <c r="F5" s="80" t="s">
        <v>82</v>
      </c>
      <c r="G5" s="102" t="s">
        <v>132</v>
      </c>
      <c r="H5" s="102" t="s">
        <v>133</v>
      </c>
      <c r="I5" s="125" t="s">
        <v>163</v>
      </c>
      <c r="J5" s="126" t="s">
        <v>134</v>
      </c>
      <c r="K5" s="127" t="s">
        <v>135</v>
      </c>
      <c r="L5" s="128" t="s">
        <v>136</v>
      </c>
      <c r="M5" s="126" t="s">
        <v>156</v>
      </c>
      <c r="N5" s="151" t="s">
        <v>162</v>
      </c>
      <c r="O5" s="126" t="s">
        <v>157</v>
      </c>
    </row>
    <row r="6" spans="1:15" x14ac:dyDescent="0.25">
      <c r="B6" s="31"/>
      <c r="C6" s="32"/>
      <c r="D6" s="6"/>
      <c r="E6" s="6"/>
      <c r="F6" s="57"/>
    </row>
    <row r="7" spans="1:15" ht="15.75" thickBot="1" x14ac:dyDescent="0.3">
      <c r="B7" s="49">
        <v>5</v>
      </c>
      <c r="C7" s="50" t="s">
        <v>56</v>
      </c>
      <c r="D7" s="51"/>
      <c r="E7" s="51"/>
      <c r="F7" s="52">
        <f>F8</f>
        <v>30</v>
      </c>
      <c r="G7" s="52">
        <f t="shared" ref="G7:N7" si="1">G8</f>
        <v>0</v>
      </c>
      <c r="H7" s="52">
        <f t="shared" si="1"/>
        <v>30</v>
      </c>
      <c r="I7" s="52">
        <f t="shared" si="1"/>
        <v>0</v>
      </c>
      <c r="J7" s="52">
        <f t="shared" si="1"/>
        <v>0</v>
      </c>
      <c r="K7" s="52">
        <f t="shared" si="1"/>
        <v>0</v>
      </c>
      <c r="L7" s="52">
        <f t="shared" si="1"/>
        <v>-30</v>
      </c>
      <c r="M7" s="52">
        <f t="shared" si="1"/>
        <v>0</v>
      </c>
      <c r="N7" s="52">
        <f t="shared" si="1"/>
        <v>0</v>
      </c>
      <c r="O7" s="52">
        <f>O8</f>
        <v>-30</v>
      </c>
    </row>
    <row r="8" spans="1:15" s="3" customFormat="1" ht="15.75" thickTop="1" x14ac:dyDescent="0.25">
      <c r="B8" s="81">
        <v>52000</v>
      </c>
      <c r="C8" s="53" t="s">
        <v>89</v>
      </c>
      <c r="D8" s="54"/>
      <c r="E8" s="54"/>
      <c r="F8" s="55">
        <f>F9</f>
        <v>30</v>
      </c>
      <c r="G8" s="134">
        <f t="shared" ref="G8:N8" si="2">SUM(G9)</f>
        <v>0</v>
      </c>
      <c r="H8" s="134">
        <f t="shared" si="2"/>
        <v>30</v>
      </c>
      <c r="I8" s="134">
        <f t="shared" si="2"/>
        <v>0</v>
      </c>
      <c r="J8" s="134">
        <f t="shared" si="2"/>
        <v>0</v>
      </c>
      <c r="K8" s="134">
        <f t="shared" si="2"/>
        <v>0</v>
      </c>
      <c r="L8" s="134">
        <f t="shared" si="2"/>
        <v>-30</v>
      </c>
      <c r="M8" s="25">
        <f t="shared" si="2"/>
        <v>0</v>
      </c>
      <c r="N8" s="25">
        <f t="shared" si="2"/>
        <v>0</v>
      </c>
      <c r="O8" s="25">
        <f>SUM(O9)</f>
        <v>-30</v>
      </c>
    </row>
    <row r="9" spans="1:15" s="2" customFormat="1" x14ac:dyDescent="0.25">
      <c r="B9" s="5"/>
      <c r="C9" s="107"/>
      <c r="D9" s="56" t="s">
        <v>89</v>
      </c>
      <c r="E9" s="56"/>
      <c r="F9" s="112">
        <v>30</v>
      </c>
      <c r="G9" s="12">
        <v>0</v>
      </c>
      <c r="H9" s="113">
        <f t="shared" ref="H9" si="3">F9+G9</f>
        <v>30</v>
      </c>
      <c r="I9" s="12">
        <v>0</v>
      </c>
      <c r="J9" s="113">
        <f t="shared" ref="J9" si="4">I9-K9</f>
        <v>0</v>
      </c>
      <c r="K9" s="12">
        <v>0</v>
      </c>
      <c r="L9" s="113">
        <f t="shared" ref="L9" si="5">I9-H9</f>
        <v>-30</v>
      </c>
      <c r="M9" s="113">
        <v>0</v>
      </c>
      <c r="N9" s="164">
        <f>I9+M9</f>
        <v>0</v>
      </c>
      <c r="O9" s="164">
        <f>N9-H9</f>
        <v>-30</v>
      </c>
    </row>
    <row r="13" spans="1:15" ht="15.75" thickBot="1" x14ac:dyDescent="0.3"/>
    <row r="14" spans="1:15" s="19" customFormat="1" ht="18" thickBot="1" x14ac:dyDescent="0.35">
      <c r="A14" s="45" t="s">
        <v>142</v>
      </c>
      <c r="B14" s="46"/>
      <c r="C14" s="46"/>
      <c r="D14" s="46"/>
      <c r="E14" s="46"/>
      <c r="F14" s="137">
        <f t="shared" ref="F14:L14" si="6">F18</f>
        <v>0</v>
      </c>
      <c r="G14" s="89">
        <f t="shared" si="6"/>
        <v>308218.64</v>
      </c>
      <c r="H14" s="89">
        <f t="shared" si="6"/>
        <v>308218.64</v>
      </c>
      <c r="I14" s="89">
        <f t="shared" si="6"/>
        <v>0</v>
      </c>
      <c r="J14" s="89">
        <f t="shared" si="6"/>
        <v>0</v>
      </c>
      <c r="K14" s="89">
        <f t="shared" si="6"/>
        <v>0</v>
      </c>
      <c r="L14" s="89">
        <f t="shared" si="6"/>
        <v>-308218.64</v>
      </c>
      <c r="M14" s="89">
        <f>M18</f>
        <v>0</v>
      </c>
      <c r="N14" s="89">
        <f>N18</f>
        <v>0</v>
      </c>
      <c r="O14" s="89">
        <f>O18</f>
        <v>-308218.64</v>
      </c>
    </row>
    <row r="15" spans="1:15" ht="15.75" thickBot="1" x14ac:dyDescent="0.3"/>
    <row r="16" spans="1:15" s="30" customFormat="1" ht="45.75" thickBot="1" x14ac:dyDescent="0.3">
      <c r="A16" s="47"/>
      <c r="B16" s="29" t="s">
        <v>62</v>
      </c>
      <c r="C16" s="76"/>
      <c r="D16" s="85" t="s">
        <v>3</v>
      </c>
      <c r="E16" s="85"/>
      <c r="F16" s="80" t="s">
        <v>82</v>
      </c>
      <c r="G16" s="102" t="s">
        <v>132</v>
      </c>
      <c r="H16" s="102" t="s">
        <v>133</v>
      </c>
      <c r="I16" s="125" t="s">
        <v>163</v>
      </c>
      <c r="J16" s="126" t="s">
        <v>134</v>
      </c>
      <c r="K16" s="127" t="s">
        <v>135</v>
      </c>
      <c r="L16" s="128" t="s">
        <v>136</v>
      </c>
      <c r="M16" s="126" t="s">
        <v>156</v>
      </c>
      <c r="N16" s="151" t="s">
        <v>162</v>
      </c>
      <c r="O16" s="126" t="s">
        <v>157</v>
      </c>
    </row>
    <row r="17" spans="2:24" x14ac:dyDescent="0.25">
      <c r="B17" s="31"/>
      <c r="C17" s="32"/>
      <c r="D17" s="6"/>
      <c r="E17" s="6"/>
      <c r="F17" s="6"/>
    </row>
    <row r="18" spans="2:24" ht="15.75" thickBot="1" x14ac:dyDescent="0.3">
      <c r="B18" s="49">
        <v>8</v>
      </c>
      <c r="C18" s="50" t="s">
        <v>143</v>
      </c>
      <c r="D18" s="51"/>
      <c r="E18" s="51"/>
      <c r="F18" s="52">
        <f t="shared" ref="F18:O18" si="7">F19</f>
        <v>0</v>
      </c>
      <c r="G18" s="52">
        <f t="shared" si="7"/>
        <v>308218.64</v>
      </c>
      <c r="H18" s="52">
        <f t="shared" si="7"/>
        <v>308218.64</v>
      </c>
      <c r="I18" s="52">
        <f t="shared" si="7"/>
        <v>0</v>
      </c>
      <c r="J18" s="52">
        <f t="shared" si="7"/>
        <v>0</v>
      </c>
      <c r="K18" s="52">
        <f t="shared" si="7"/>
        <v>0</v>
      </c>
      <c r="L18" s="52">
        <f t="shared" si="7"/>
        <v>-308218.64</v>
      </c>
      <c r="M18" s="52">
        <f t="shared" si="7"/>
        <v>0</v>
      </c>
      <c r="N18" s="52">
        <f t="shared" si="7"/>
        <v>0</v>
      </c>
      <c r="O18" s="52">
        <f t="shared" si="7"/>
        <v>-308218.64</v>
      </c>
    </row>
    <row r="19" spans="2:24" s="3" customFormat="1" ht="15.75" thickTop="1" x14ac:dyDescent="0.25">
      <c r="B19" s="81">
        <v>87010</v>
      </c>
      <c r="C19" s="53" t="s">
        <v>144</v>
      </c>
      <c r="D19" s="54"/>
      <c r="E19" s="54"/>
      <c r="F19" s="134">
        <f t="shared" ref="F19:O19" si="8">SUM(F20)</f>
        <v>0</v>
      </c>
      <c r="G19" s="134">
        <f t="shared" si="8"/>
        <v>308218.64</v>
      </c>
      <c r="H19" s="134">
        <f t="shared" si="8"/>
        <v>308218.64</v>
      </c>
      <c r="I19" s="134">
        <f t="shared" si="8"/>
        <v>0</v>
      </c>
      <c r="J19" s="134">
        <f t="shared" si="8"/>
        <v>0</v>
      </c>
      <c r="K19" s="134">
        <f t="shared" si="8"/>
        <v>0</v>
      </c>
      <c r="L19" s="134">
        <f t="shared" si="8"/>
        <v>-308218.64</v>
      </c>
      <c r="M19" s="25">
        <f t="shared" si="8"/>
        <v>0</v>
      </c>
      <c r="N19" s="25">
        <f t="shared" si="8"/>
        <v>0</v>
      </c>
      <c r="O19" s="25">
        <f t="shared" si="8"/>
        <v>-308218.64</v>
      </c>
    </row>
    <row r="20" spans="2:24" s="2" customFormat="1" x14ac:dyDescent="0.25">
      <c r="B20" s="5"/>
      <c r="C20" s="107"/>
      <c r="D20" s="56" t="s">
        <v>144</v>
      </c>
      <c r="E20" s="56"/>
      <c r="F20" s="138">
        <v>0</v>
      </c>
      <c r="G20" s="12">
        <v>308218.64</v>
      </c>
      <c r="H20" s="113">
        <f t="shared" ref="H20" si="9">F20+G20</f>
        <v>308218.64</v>
      </c>
      <c r="I20" s="12">
        <v>0</v>
      </c>
      <c r="J20" s="113">
        <f t="shared" ref="J20" si="10">I20-K20</f>
        <v>0</v>
      </c>
      <c r="K20" s="12">
        <v>0</v>
      </c>
      <c r="L20" s="113">
        <f t="shared" ref="L20" si="11">I20-H20</f>
        <v>-308218.64</v>
      </c>
      <c r="M20" s="113">
        <v>0</v>
      </c>
      <c r="N20" s="164">
        <f>I20+M20</f>
        <v>0</v>
      </c>
      <c r="O20" s="164">
        <f>N20-H20</f>
        <v>-308218.64</v>
      </c>
    </row>
    <row r="21" spans="2:24" s="2" customFormat="1" x14ac:dyDescent="0.25">
      <c r="B21" s="5"/>
      <c r="C21" s="135"/>
      <c r="D21" s="136"/>
      <c r="E21" s="136"/>
      <c r="F21" s="136"/>
      <c r="G21" s="109"/>
      <c r="H21" s="109"/>
      <c r="I21" s="109"/>
      <c r="J21" s="109"/>
      <c r="K21" s="109"/>
      <c r="L21" s="109"/>
    </row>
    <row r="22" spans="2:24" x14ac:dyDescent="0.25">
      <c r="G22" s="109"/>
      <c r="H22" s="109"/>
      <c r="I22" s="109"/>
      <c r="J22" s="109"/>
      <c r="K22" s="109"/>
      <c r="L22" s="10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</sheetData>
  <printOptions horizontalCentered="1"/>
  <pageMargins left="0" right="0" top="0.39370078740157483" bottom="0.39370078740157483" header="0.31496062992125984" footer="0.15748031496062992"/>
  <pageSetup paperSize="9" scale="86" fitToHeight="0" orientation="landscape" r:id="rId1"/>
  <headerFooter>
    <oddFooter>&amp;CSeguiment pressupost 2020 IERMB _ 30-09-2020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8"/>
  <sheetViews>
    <sheetView showGridLines="0" zoomScale="85" zoomScaleNormal="85" zoomScaleSheetLayoutView="100" workbookViewId="0">
      <selection activeCell="E42" sqref="E42"/>
    </sheetView>
  </sheetViews>
  <sheetFormatPr baseColWidth="10" defaultRowHeight="15" x14ac:dyDescent="0.25"/>
  <cols>
    <col min="1" max="1" width="15.7109375" customWidth="1"/>
    <col min="2" max="2" width="10.7109375" customWidth="1"/>
    <col min="3" max="3" width="32.5703125" customWidth="1"/>
    <col min="4" max="4" width="3" customWidth="1"/>
    <col min="5" max="5" width="5.28515625" customWidth="1"/>
    <col min="6" max="6" width="15.5703125" customWidth="1"/>
    <col min="7" max="7" width="14.140625" customWidth="1"/>
    <col min="8" max="8" width="15.42578125" customWidth="1"/>
    <col min="9" max="9" width="17.7109375" customWidth="1"/>
    <col min="10" max="10" width="15" hidden="1" customWidth="1"/>
    <col min="11" max="11" width="15.85546875" hidden="1" customWidth="1"/>
    <col min="12" max="12" width="16.140625" hidden="1" customWidth="1"/>
    <col min="13" max="13" width="13.5703125" customWidth="1"/>
    <col min="14" max="14" width="17.5703125" customWidth="1"/>
    <col min="15" max="15" width="17" customWidth="1"/>
    <col min="16" max="16" width="3.140625" customWidth="1"/>
  </cols>
  <sheetData>
    <row r="2" spans="1:15" ht="15.75" thickBot="1" x14ac:dyDescent="0.3"/>
    <row r="3" spans="1:15" s="59" customFormat="1" ht="18" thickBot="1" x14ac:dyDescent="0.35">
      <c r="A3" s="45" t="s">
        <v>101</v>
      </c>
      <c r="B3" s="58"/>
      <c r="C3" s="58"/>
      <c r="D3" s="58"/>
      <c r="E3" s="58"/>
      <c r="F3" s="89">
        <f>F7</f>
        <v>2283101.7007403998</v>
      </c>
      <c r="G3" s="89">
        <f t="shared" ref="G3:L3" si="0">G7</f>
        <v>542784.86</v>
      </c>
      <c r="H3" s="89">
        <f t="shared" si="0"/>
        <v>2825886.5607403996</v>
      </c>
      <c r="I3" s="89">
        <f t="shared" si="0"/>
        <v>1842449.75</v>
      </c>
      <c r="J3" s="89">
        <f t="shared" si="0"/>
        <v>0</v>
      </c>
      <c r="K3" s="89">
        <f t="shared" si="0"/>
        <v>1842449.75</v>
      </c>
      <c r="L3" s="89">
        <f t="shared" si="0"/>
        <v>983436.81074039987</v>
      </c>
      <c r="M3" s="137">
        <f>M7</f>
        <v>773532.84960499988</v>
      </c>
      <c r="N3" s="137">
        <f>N7</f>
        <v>2615982.5996049996</v>
      </c>
      <c r="O3" s="137">
        <f>O7</f>
        <v>209903.96113539999</v>
      </c>
    </row>
    <row r="4" spans="1:15" ht="15.75" thickBot="1" x14ac:dyDescent="0.3"/>
    <row r="5" spans="1:15" ht="45.75" thickBot="1" x14ac:dyDescent="0.3">
      <c r="A5" s="90" t="s">
        <v>64</v>
      </c>
      <c r="B5" s="60" t="s">
        <v>65</v>
      </c>
      <c r="C5" s="93" t="s">
        <v>85</v>
      </c>
      <c r="D5" s="94"/>
      <c r="E5" s="95"/>
      <c r="F5" s="80" t="s">
        <v>82</v>
      </c>
      <c r="G5" s="102" t="s">
        <v>132</v>
      </c>
      <c r="H5" s="102" t="s">
        <v>133</v>
      </c>
      <c r="I5" s="125" t="s">
        <v>164</v>
      </c>
      <c r="J5" s="126" t="s">
        <v>134</v>
      </c>
      <c r="K5" s="127" t="s">
        <v>135</v>
      </c>
      <c r="L5" s="128" t="s">
        <v>136</v>
      </c>
      <c r="M5" s="126" t="s">
        <v>158</v>
      </c>
      <c r="N5" s="151" t="s">
        <v>161</v>
      </c>
      <c r="O5" s="126" t="s">
        <v>157</v>
      </c>
    </row>
    <row r="6" spans="1:15" s="48" customFormat="1" x14ac:dyDescent="0.25">
      <c r="A6"/>
      <c r="B6"/>
      <c r="C6"/>
      <c r="D6"/>
      <c r="E6"/>
      <c r="F6"/>
      <c r="G6"/>
      <c r="H6"/>
      <c r="I6"/>
      <c r="J6"/>
      <c r="K6"/>
      <c r="L6"/>
      <c r="M6" s="2"/>
      <c r="N6" s="2"/>
      <c r="O6" s="2"/>
    </row>
    <row r="7" spans="1:15" ht="15.75" thickBot="1" x14ac:dyDescent="0.3">
      <c r="A7" s="61">
        <v>462</v>
      </c>
      <c r="B7" s="49">
        <v>1</v>
      </c>
      <c r="C7" s="50" t="s">
        <v>87</v>
      </c>
      <c r="D7" s="51"/>
      <c r="E7" s="62"/>
      <c r="F7" s="52">
        <f>SUM(F8:F17)</f>
        <v>2283101.7007403998</v>
      </c>
      <c r="G7" s="52">
        <f t="shared" ref="G7:L7" si="1">SUM(G8:G16)</f>
        <v>542784.86</v>
      </c>
      <c r="H7" s="52">
        <f>SUM(H8:H16)</f>
        <v>2825886.5607403996</v>
      </c>
      <c r="I7" s="52">
        <f>SUM(I8:I16)</f>
        <v>1842449.75</v>
      </c>
      <c r="J7" s="52">
        <f t="shared" si="1"/>
        <v>0</v>
      </c>
      <c r="K7" s="52">
        <f t="shared" si="1"/>
        <v>1842449.75</v>
      </c>
      <c r="L7" s="52">
        <f t="shared" si="1"/>
        <v>983436.81074039987</v>
      </c>
      <c r="M7" s="52">
        <f t="shared" ref="M7:O7" si="2">SUM(M8:M16)</f>
        <v>773532.84960499988</v>
      </c>
      <c r="N7" s="52">
        <f t="shared" si="2"/>
        <v>2615982.5996049996</v>
      </c>
      <c r="O7" s="52">
        <f t="shared" si="2"/>
        <v>209903.96113539999</v>
      </c>
    </row>
    <row r="8" spans="1:15" ht="15.75" thickTop="1" x14ac:dyDescent="0.25">
      <c r="A8" s="63" t="s">
        <v>66</v>
      </c>
      <c r="B8" s="91" t="s">
        <v>53</v>
      </c>
      <c r="C8" s="22" t="s">
        <v>54</v>
      </c>
      <c r="D8" s="10"/>
      <c r="E8" s="22"/>
      <c r="F8" s="12">
        <v>65035.353600000009</v>
      </c>
      <c r="G8" s="12">
        <v>0</v>
      </c>
      <c r="H8" s="12">
        <f>F8+G8</f>
        <v>65035.353600000009</v>
      </c>
      <c r="I8" s="12">
        <v>46252.65</v>
      </c>
      <c r="J8" s="12">
        <f>I8-K8</f>
        <v>0</v>
      </c>
      <c r="K8" s="12">
        <v>46252.65</v>
      </c>
      <c r="L8" s="12">
        <f>H8-I8</f>
        <v>18782.703600000008</v>
      </c>
      <c r="M8" s="12">
        <v>18401.500000000015</v>
      </c>
      <c r="N8" s="12">
        <f>I8+M8</f>
        <v>64654.150000000016</v>
      </c>
      <c r="O8" s="12">
        <f>H8-N8</f>
        <v>381.20359999999346</v>
      </c>
    </row>
    <row r="9" spans="1:15" x14ac:dyDescent="0.25">
      <c r="A9" s="63" t="s">
        <v>84</v>
      </c>
      <c r="B9" s="92" t="s">
        <v>11</v>
      </c>
      <c r="C9" s="21" t="s">
        <v>8</v>
      </c>
      <c r="D9" s="9"/>
      <c r="E9" s="21"/>
      <c r="F9" s="12">
        <f>822656.8182+41456.78</f>
        <v>864113.59820000001</v>
      </c>
      <c r="G9" s="12">
        <v>0</v>
      </c>
      <c r="H9" s="12">
        <f t="shared" ref="H9:H15" si="3">F9+G9</f>
        <v>864113.59820000001</v>
      </c>
      <c r="I9" s="12">
        <v>613005.66</v>
      </c>
      <c r="J9" s="12">
        <f t="shared" ref="J9:J15" si="4">I9-K9</f>
        <v>0</v>
      </c>
      <c r="K9" s="12">
        <v>613005.66</v>
      </c>
      <c r="L9" s="12">
        <f t="shared" ref="L9:L15" si="5">H9-I9</f>
        <v>251107.93819999998</v>
      </c>
      <c r="M9" s="12">
        <v>241842.30500000005</v>
      </c>
      <c r="N9" s="12">
        <f t="shared" ref="N9:N15" si="6">I9+M9</f>
        <v>854847.96500000008</v>
      </c>
      <c r="O9" s="12">
        <f t="shared" ref="O9:O15" si="7">H9-N9</f>
        <v>9265.6331999999238</v>
      </c>
    </row>
    <row r="10" spans="1:15" x14ac:dyDescent="0.25">
      <c r="A10" s="23" t="s">
        <v>67</v>
      </c>
      <c r="B10" s="92" t="s">
        <v>72</v>
      </c>
      <c r="C10" s="24" t="s">
        <v>73</v>
      </c>
      <c r="D10" s="21"/>
      <c r="E10" s="21"/>
      <c r="F10" s="12">
        <f>409908.9764+198536.42+146814.06</f>
        <v>755259.45640000002</v>
      </c>
      <c r="G10" s="12">
        <v>542784.86</v>
      </c>
      <c r="H10" s="12">
        <f t="shared" si="3"/>
        <v>1298044.3163999999</v>
      </c>
      <c r="I10" s="12">
        <v>660087</v>
      </c>
      <c r="J10" s="12">
        <f t="shared" si="4"/>
        <v>0</v>
      </c>
      <c r="K10" s="12">
        <v>660087</v>
      </c>
      <c r="L10" s="12">
        <f t="shared" si="5"/>
        <v>637957.31639999989</v>
      </c>
      <c r="M10" s="12">
        <v>315634.11916666641</v>
      </c>
      <c r="N10" s="12">
        <f t="shared" si="6"/>
        <v>975721.11916666641</v>
      </c>
      <c r="O10" s="12">
        <f>H10-N10</f>
        <v>322323.19723333349</v>
      </c>
    </row>
    <row r="11" spans="1:15" x14ac:dyDescent="0.25">
      <c r="B11" s="92" t="s">
        <v>74</v>
      </c>
      <c r="C11" s="24" t="s">
        <v>70</v>
      </c>
      <c r="D11" s="24"/>
      <c r="E11" s="24"/>
      <c r="F11" s="12">
        <v>0</v>
      </c>
      <c r="G11" s="12">
        <v>0</v>
      </c>
      <c r="H11" s="12">
        <f t="shared" si="3"/>
        <v>0</v>
      </c>
      <c r="I11" s="12">
        <v>27464.48</v>
      </c>
      <c r="J11" s="12">
        <f t="shared" si="4"/>
        <v>0</v>
      </c>
      <c r="K11" s="12">
        <v>27464.48</v>
      </c>
      <c r="L11" s="12">
        <f t="shared" si="5"/>
        <v>-27464.48</v>
      </c>
      <c r="M11" s="120">
        <v>0</v>
      </c>
      <c r="N11" s="12">
        <f t="shared" si="6"/>
        <v>27464.48</v>
      </c>
      <c r="O11" s="12">
        <f t="shared" si="7"/>
        <v>-27464.48</v>
      </c>
    </row>
    <row r="12" spans="1:15" x14ac:dyDescent="0.25">
      <c r="B12" s="92" t="s">
        <v>107</v>
      </c>
      <c r="C12" s="24" t="s">
        <v>108</v>
      </c>
      <c r="D12" s="24"/>
      <c r="E12" s="24"/>
      <c r="F12" s="12">
        <f>2500+1000+1000</f>
        <v>4500</v>
      </c>
      <c r="G12" s="12">
        <v>0</v>
      </c>
      <c r="H12" s="12">
        <f t="shared" si="3"/>
        <v>4500</v>
      </c>
      <c r="I12" s="12">
        <v>8674</v>
      </c>
      <c r="J12" s="12">
        <f t="shared" si="4"/>
        <v>0</v>
      </c>
      <c r="K12" s="12">
        <v>8674</v>
      </c>
      <c r="L12" s="12">
        <f t="shared" si="5"/>
        <v>-4174</v>
      </c>
      <c r="M12" s="12">
        <v>2826</v>
      </c>
      <c r="N12" s="12">
        <f t="shared" si="6"/>
        <v>11500</v>
      </c>
      <c r="O12" s="12">
        <f t="shared" si="7"/>
        <v>-7000</v>
      </c>
    </row>
    <row r="13" spans="1:15" x14ac:dyDescent="0.25">
      <c r="B13" s="92" t="s">
        <v>12</v>
      </c>
      <c r="C13" s="21" t="s">
        <v>2</v>
      </c>
      <c r="D13" s="9"/>
      <c r="E13" s="21"/>
      <c r="F13" s="12">
        <f>412151.8525404+78138.29+48961.25</f>
        <v>539251.39254039992</v>
      </c>
      <c r="G13" s="12">
        <v>0</v>
      </c>
      <c r="H13" s="12">
        <f t="shared" si="3"/>
        <v>539251.39254039992</v>
      </c>
      <c r="I13" s="12">
        <v>448141.74</v>
      </c>
      <c r="J13" s="12">
        <f t="shared" si="4"/>
        <v>0</v>
      </c>
      <c r="K13" s="12">
        <v>448141.74</v>
      </c>
      <c r="L13" s="12">
        <f t="shared" si="5"/>
        <v>91109.652540399926</v>
      </c>
      <c r="M13" s="12">
        <v>173399.98543833336</v>
      </c>
      <c r="N13" s="12">
        <f t="shared" si="6"/>
        <v>621541.72543833335</v>
      </c>
      <c r="O13" s="12">
        <f t="shared" si="7"/>
        <v>-82290.332897933433</v>
      </c>
    </row>
    <row r="14" spans="1:15" x14ac:dyDescent="0.25">
      <c r="B14" s="92" t="s">
        <v>13</v>
      </c>
      <c r="C14" s="24" t="s">
        <v>14</v>
      </c>
      <c r="D14" s="9"/>
      <c r="E14" s="24"/>
      <c r="F14" s="12">
        <f>4000+1500+1250</f>
        <v>6750</v>
      </c>
      <c r="G14" s="12">
        <v>0</v>
      </c>
      <c r="H14" s="12">
        <f t="shared" si="3"/>
        <v>6750</v>
      </c>
      <c r="I14" s="12">
        <v>0</v>
      </c>
      <c r="J14" s="12">
        <f t="shared" si="4"/>
        <v>0</v>
      </c>
      <c r="K14" s="12">
        <v>0</v>
      </c>
      <c r="L14" s="12">
        <f t="shared" si="5"/>
        <v>6750</v>
      </c>
      <c r="M14" s="99">
        <v>3863</v>
      </c>
      <c r="N14" s="12">
        <f t="shared" si="6"/>
        <v>3863</v>
      </c>
      <c r="O14" s="12">
        <f t="shared" si="7"/>
        <v>2887</v>
      </c>
    </row>
    <row r="15" spans="1:15" x14ac:dyDescent="0.25">
      <c r="B15" s="98" t="s">
        <v>75</v>
      </c>
      <c r="C15" s="21" t="s">
        <v>76</v>
      </c>
      <c r="D15" s="21"/>
      <c r="E15" s="21"/>
      <c r="F15" s="99">
        <f>36183.6+6295.1+5713.2</f>
        <v>48191.899999999994</v>
      </c>
      <c r="G15" s="12">
        <v>0</v>
      </c>
      <c r="H15" s="12">
        <f t="shared" si="3"/>
        <v>48191.899999999994</v>
      </c>
      <c r="I15" s="12">
        <v>38824.22</v>
      </c>
      <c r="J15" s="12">
        <f t="shared" si="4"/>
        <v>0</v>
      </c>
      <c r="K15" s="12">
        <v>38824.22</v>
      </c>
      <c r="L15" s="12">
        <f t="shared" si="5"/>
        <v>9367.679999999993</v>
      </c>
      <c r="M15" s="99">
        <f>16070.11+1495.83</f>
        <v>17565.940000000002</v>
      </c>
      <c r="N15" s="99">
        <f t="shared" si="6"/>
        <v>56390.16</v>
      </c>
      <c r="O15" s="12">
        <f t="shared" si="7"/>
        <v>-8198.2600000000093</v>
      </c>
    </row>
    <row r="16" spans="1:15" x14ac:dyDescent="0.25">
      <c r="G16" s="4"/>
    </row>
    <row r="18" spans="1:6" x14ac:dyDescent="0.25">
      <c r="A18" s="2"/>
      <c r="B18" s="96"/>
      <c r="C18" s="2"/>
      <c r="D18" s="2"/>
      <c r="E18" s="2"/>
      <c r="F18" s="2"/>
    </row>
    <row r="19" spans="1:6" ht="21" x14ac:dyDescent="0.35">
      <c r="A19" s="2"/>
      <c r="B19" s="97"/>
      <c r="C19" s="2"/>
      <c r="D19" s="2"/>
      <c r="E19" s="2"/>
      <c r="F19" s="116"/>
    </row>
    <row r="20" spans="1:6" ht="21" x14ac:dyDescent="0.35">
      <c r="A20" s="2"/>
      <c r="B20" s="2"/>
      <c r="C20" s="2"/>
      <c r="D20" s="2"/>
      <c r="E20" s="2"/>
      <c r="F20" s="116"/>
    </row>
    <row r="21" spans="1:6" ht="21" x14ac:dyDescent="0.35">
      <c r="A21" s="2"/>
      <c r="B21" s="2"/>
      <c r="C21" s="2"/>
      <c r="D21" s="2"/>
      <c r="E21" s="2"/>
      <c r="F21" s="116"/>
    </row>
    <row r="22" spans="1:6" ht="21" x14ac:dyDescent="0.35">
      <c r="F22" s="116"/>
    </row>
    <row r="23" spans="1:6" ht="21" x14ac:dyDescent="0.35">
      <c r="F23" s="116"/>
    </row>
    <row r="24" spans="1:6" ht="21" x14ac:dyDescent="0.35">
      <c r="F24" s="116"/>
    </row>
    <row r="25" spans="1:6" ht="21" x14ac:dyDescent="0.35">
      <c r="D25" s="27"/>
      <c r="F25" s="116"/>
    </row>
    <row r="26" spans="1:6" ht="21" x14ac:dyDescent="0.35">
      <c r="F26" s="116"/>
    </row>
    <row r="27" spans="1:6" ht="21" x14ac:dyDescent="0.35">
      <c r="F27" s="116"/>
    </row>
    <row r="28" spans="1:6" x14ac:dyDescent="0.25">
      <c r="F28" s="75"/>
    </row>
  </sheetData>
  <printOptions horizontalCentered="1"/>
  <pageMargins left="0" right="0" top="0.39370078740157483" bottom="0.39370078740157483" header="0.31496062992125984" footer="0.15748031496062992"/>
  <pageSetup paperSize="9" scale="81" fitToHeight="0" orientation="landscape" r:id="rId1"/>
  <headerFooter>
    <oddFooter>&amp;CSeguiment pressupost 2020 IERMB _ 30-09-2020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O34"/>
  <sheetViews>
    <sheetView showGridLines="0" zoomScale="115" zoomScaleNormal="115" zoomScaleSheetLayoutView="100" workbookViewId="0">
      <selection activeCell="E42" sqref="E42"/>
    </sheetView>
  </sheetViews>
  <sheetFormatPr baseColWidth="10" defaultRowHeight="15" x14ac:dyDescent="0.25"/>
  <cols>
    <col min="1" max="1" width="15.7109375" customWidth="1"/>
    <col min="2" max="2" width="10.7109375" customWidth="1"/>
    <col min="3" max="3" width="41.85546875" customWidth="1"/>
    <col min="4" max="4" width="12.42578125" customWidth="1"/>
    <col min="5" max="5" width="11.85546875" customWidth="1"/>
    <col min="6" max="6" width="16.140625" customWidth="1"/>
    <col min="7" max="7" width="17.42578125" customWidth="1"/>
    <col min="8" max="8" width="16" customWidth="1"/>
    <col min="9" max="9" width="19.140625" customWidth="1"/>
    <col min="10" max="10" width="16.5703125" hidden="1" customWidth="1"/>
    <col min="11" max="11" width="14" hidden="1" customWidth="1"/>
    <col min="12" max="12" width="20" hidden="1" customWidth="1"/>
    <col min="13" max="13" width="13.85546875" customWidth="1"/>
    <col min="14" max="14" width="14" customWidth="1"/>
    <col min="15" max="15" width="13.7109375" customWidth="1"/>
    <col min="16" max="16" width="3.28515625" customWidth="1"/>
  </cols>
  <sheetData>
    <row r="2" spans="1:15" ht="15.75" thickBot="1" x14ac:dyDescent="0.3"/>
    <row r="3" spans="1:15" s="59" customFormat="1" ht="18" thickBot="1" x14ac:dyDescent="0.35">
      <c r="A3" s="45" t="s">
        <v>45</v>
      </c>
      <c r="B3" s="58"/>
      <c r="C3" s="58"/>
      <c r="D3" s="58"/>
      <c r="E3" s="58"/>
      <c r="F3" s="89">
        <f t="shared" ref="F3:L3" si="0">F7</f>
        <v>872533.54</v>
      </c>
      <c r="G3" s="89">
        <f t="shared" si="0"/>
        <v>436512.90999999992</v>
      </c>
      <c r="H3" s="89">
        <f t="shared" si="0"/>
        <v>1309046.45</v>
      </c>
      <c r="I3" s="89">
        <f t="shared" si="0"/>
        <v>415812.68</v>
      </c>
      <c r="J3" s="89">
        <f t="shared" si="0"/>
        <v>29044.686000000002</v>
      </c>
      <c r="K3" s="89">
        <f t="shared" si="0"/>
        <v>386767.99400000001</v>
      </c>
      <c r="L3" s="89">
        <f t="shared" si="0"/>
        <v>893233.77000000025</v>
      </c>
      <c r="M3" s="137">
        <f>M7</f>
        <v>593979</v>
      </c>
      <c r="N3" s="137">
        <f>N7</f>
        <v>1009791.6799999999</v>
      </c>
      <c r="O3" s="137">
        <f>O7</f>
        <v>299254.77000000014</v>
      </c>
    </row>
    <row r="4" spans="1:15" ht="15.75" thickBot="1" x14ac:dyDescent="0.3"/>
    <row r="5" spans="1:15" s="48" customFormat="1" ht="51" customHeight="1" thickBot="1" x14ac:dyDescent="0.3">
      <c r="A5" s="90" t="s">
        <v>64</v>
      </c>
      <c r="B5" s="60" t="s">
        <v>65</v>
      </c>
      <c r="C5" s="93"/>
      <c r="D5" s="94" t="s">
        <v>3</v>
      </c>
      <c r="E5" s="95"/>
      <c r="F5" s="80" t="s">
        <v>82</v>
      </c>
      <c r="G5" s="102" t="s">
        <v>132</v>
      </c>
      <c r="H5" s="102" t="s">
        <v>133</v>
      </c>
      <c r="I5" s="125" t="s">
        <v>164</v>
      </c>
      <c r="J5" s="126" t="s">
        <v>137</v>
      </c>
      <c r="K5" s="127" t="s">
        <v>138</v>
      </c>
      <c r="L5" s="128" t="s">
        <v>136</v>
      </c>
      <c r="M5" s="126" t="s">
        <v>158</v>
      </c>
      <c r="N5" s="151" t="s">
        <v>161</v>
      </c>
      <c r="O5" s="126" t="s">
        <v>157</v>
      </c>
    </row>
    <row r="6" spans="1:15" x14ac:dyDescent="0.25">
      <c r="M6" s="2"/>
      <c r="N6" s="2"/>
      <c r="O6" s="2"/>
    </row>
    <row r="7" spans="1:15" ht="15.75" thickBot="1" x14ac:dyDescent="0.3">
      <c r="A7" s="61">
        <v>462</v>
      </c>
      <c r="B7" s="49">
        <v>2</v>
      </c>
      <c r="C7" s="64" t="s">
        <v>90</v>
      </c>
      <c r="D7" s="51"/>
      <c r="E7" s="62"/>
      <c r="F7" s="52">
        <f>SUM(F8:F29)</f>
        <v>872533.54</v>
      </c>
      <c r="G7" s="52">
        <f t="shared" ref="G7" si="1">SUM(G8:G29)</f>
        <v>436512.90999999992</v>
      </c>
      <c r="H7" s="52">
        <f>SUM(H8:H29)</f>
        <v>1309046.45</v>
      </c>
      <c r="I7" s="52">
        <f t="shared" ref="I7:M7" si="2">SUM(I8:I29)</f>
        <v>415812.68</v>
      </c>
      <c r="J7" s="52">
        <f t="shared" si="2"/>
        <v>29044.686000000002</v>
      </c>
      <c r="K7" s="52">
        <f t="shared" si="2"/>
        <v>386767.99400000001</v>
      </c>
      <c r="L7" s="52">
        <f t="shared" si="2"/>
        <v>893233.77000000025</v>
      </c>
      <c r="M7" s="52">
        <f t="shared" si="2"/>
        <v>593979</v>
      </c>
      <c r="N7" s="52">
        <f>SUM(N8:N29)</f>
        <v>1009791.6799999999</v>
      </c>
      <c r="O7" s="52">
        <f>SUM(O8:O29)</f>
        <v>299254.77000000014</v>
      </c>
    </row>
    <row r="8" spans="1:15" ht="15.75" thickTop="1" x14ac:dyDescent="0.25">
      <c r="A8" s="63" t="s">
        <v>66</v>
      </c>
      <c r="B8" s="92" t="s">
        <v>16</v>
      </c>
      <c r="C8" s="9" t="s">
        <v>91</v>
      </c>
      <c r="D8" s="9"/>
      <c r="E8" s="9"/>
      <c r="F8" s="12">
        <v>25000</v>
      </c>
      <c r="G8" s="12">
        <v>0</v>
      </c>
      <c r="H8" s="12">
        <f>F8+G8</f>
        <v>25000</v>
      </c>
      <c r="I8" s="12">
        <v>10680.28</v>
      </c>
      <c r="J8" s="12">
        <f>I8-K8</f>
        <v>0</v>
      </c>
      <c r="K8" s="12">
        <v>10680.28</v>
      </c>
      <c r="L8" s="12">
        <f>H8-I8</f>
        <v>14319.72</v>
      </c>
      <c r="M8" s="12">
        <v>26358</v>
      </c>
      <c r="N8" s="12">
        <f>I8+M8</f>
        <v>37038.28</v>
      </c>
      <c r="O8" s="12">
        <f>H8-N8</f>
        <v>-12038.279999999999</v>
      </c>
    </row>
    <row r="9" spans="1:15" x14ac:dyDescent="0.25">
      <c r="A9" s="63" t="s">
        <v>84</v>
      </c>
      <c r="B9" s="92" t="s">
        <v>17</v>
      </c>
      <c r="C9" s="9" t="s">
        <v>15</v>
      </c>
      <c r="D9" s="9"/>
      <c r="E9" s="9"/>
      <c r="F9" s="12">
        <v>950</v>
      </c>
      <c r="G9" s="12">
        <v>0</v>
      </c>
      <c r="H9" s="12">
        <f t="shared" ref="H9:H29" si="3">F9+G9</f>
        <v>950</v>
      </c>
      <c r="I9" s="12">
        <v>1114.5</v>
      </c>
      <c r="J9" s="12">
        <f t="shared" ref="J9" si="4">I9-K9</f>
        <v>0</v>
      </c>
      <c r="K9" s="12">
        <v>1114.5</v>
      </c>
      <c r="L9" s="12">
        <f t="shared" ref="L9" si="5">H9-I9</f>
        <v>-164.5</v>
      </c>
      <c r="M9" s="12">
        <f>205.97+100+70</f>
        <v>375.97</v>
      </c>
      <c r="N9" s="12">
        <f t="shared" ref="N9:N28" si="6">I9+M9</f>
        <v>1490.47</v>
      </c>
      <c r="O9" s="12">
        <f t="shared" ref="O9:O28" si="7">H9-N9</f>
        <v>-540.47</v>
      </c>
    </row>
    <row r="10" spans="1:15" x14ac:dyDescent="0.25">
      <c r="A10" s="63"/>
      <c r="B10" s="92" t="s">
        <v>150</v>
      </c>
      <c r="C10" s="9" t="s">
        <v>151</v>
      </c>
      <c r="E10" s="9"/>
      <c r="F10" s="12">
        <v>0</v>
      </c>
      <c r="G10" s="12">
        <v>0</v>
      </c>
      <c r="H10" s="12">
        <f t="shared" ref="H10" si="8">F10+G10</f>
        <v>0</v>
      </c>
      <c r="I10" s="12">
        <v>412.88</v>
      </c>
      <c r="J10" s="12">
        <f t="shared" ref="J10:J29" si="9">I10-K10</f>
        <v>0</v>
      </c>
      <c r="K10" s="12">
        <v>412.88</v>
      </c>
      <c r="L10" s="12">
        <f t="shared" ref="L10" si="10">H10-I10</f>
        <v>-412.88</v>
      </c>
      <c r="M10" s="12"/>
      <c r="N10" s="12">
        <f t="shared" si="6"/>
        <v>412.88</v>
      </c>
      <c r="O10" s="12">
        <f t="shared" si="7"/>
        <v>-412.88</v>
      </c>
    </row>
    <row r="11" spans="1:15" x14ac:dyDescent="0.25">
      <c r="A11" s="23" t="s">
        <v>67</v>
      </c>
      <c r="B11" s="92" t="s">
        <v>109</v>
      </c>
      <c r="C11" s="9" t="s">
        <v>110</v>
      </c>
      <c r="D11" s="9"/>
      <c r="E11" s="9"/>
      <c r="F11" s="12">
        <f>1250+1250</f>
        <v>2500</v>
      </c>
      <c r="G11" s="12">
        <v>0</v>
      </c>
      <c r="H11" s="12">
        <f t="shared" si="3"/>
        <v>2500</v>
      </c>
      <c r="I11" s="12">
        <v>0</v>
      </c>
      <c r="J11" s="12">
        <f t="shared" si="9"/>
        <v>0</v>
      </c>
      <c r="K11" s="12">
        <v>0</v>
      </c>
      <c r="L11" s="12">
        <f>H11-I11</f>
        <v>2500</v>
      </c>
      <c r="M11" s="12"/>
      <c r="N11" s="12">
        <f t="shared" si="6"/>
        <v>0</v>
      </c>
      <c r="O11" s="12">
        <f t="shared" si="7"/>
        <v>2500</v>
      </c>
    </row>
    <row r="12" spans="1:15" x14ac:dyDescent="0.25">
      <c r="A12" s="23"/>
      <c r="B12" s="92" t="s">
        <v>125</v>
      </c>
      <c r="C12" s="9" t="s">
        <v>126</v>
      </c>
      <c r="D12" s="9"/>
      <c r="E12" s="9"/>
      <c r="F12" s="12">
        <v>3750</v>
      </c>
      <c r="G12" s="12">
        <v>0</v>
      </c>
      <c r="H12" s="12">
        <f t="shared" si="3"/>
        <v>3750</v>
      </c>
      <c r="I12" s="12">
        <v>29044.98</v>
      </c>
      <c r="J12" s="12">
        <f t="shared" si="9"/>
        <v>778.25</v>
      </c>
      <c r="K12" s="12">
        <v>28266.73</v>
      </c>
      <c r="L12" s="12">
        <f t="shared" ref="L12:L29" si="11">H12-I12</f>
        <v>-25294.98</v>
      </c>
      <c r="M12" s="12">
        <f>1200+750+360+180+120</f>
        <v>2610</v>
      </c>
      <c r="N12" s="12">
        <f t="shared" si="6"/>
        <v>31654.98</v>
      </c>
      <c r="O12" s="12">
        <f t="shared" si="7"/>
        <v>-27904.98</v>
      </c>
    </row>
    <row r="13" spans="1:15" x14ac:dyDescent="0.25">
      <c r="B13" s="92" t="s">
        <v>21</v>
      </c>
      <c r="C13" s="9" t="s">
        <v>20</v>
      </c>
      <c r="D13" s="9"/>
      <c r="E13" s="9"/>
      <c r="F13" s="12">
        <f>5350+1200+1500</f>
        <v>8050</v>
      </c>
      <c r="G13" s="12">
        <v>0</v>
      </c>
      <c r="H13" s="12">
        <f t="shared" si="3"/>
        <v>8050</v>
      </c>
      <c r="I13" s="12">
        <v>5926.77</v>
      </c>
      <c r="J13" s="12">
        <f t="shared" si="9"/>
        <v>311.15000000000055</v>
      </c>
      <c r="K13" s="12">
        <v>5615.62</v>
      </c>
      <c r="L13" s="12">
        <f t="shared" si="11"/>
        <v>2123.2299999999996</v>
      </c>
      <c r="M13" s="12">
        <f>181.37+250+1251+900</f>
        <v>2582.37</v>
      </c>
      <c r="N13" s="12">
        <f t="shared" si="6"/>
        <v>8509.14</v>
      </c>
      <c r="O13" s="12">
        <f t="shared" si="7"/>
        <v>-459.13999999999942</v>
      </c>
    </row>
    <row r="14" spans="1:15" x14ac:dyDescent="0.25">
      <c r="B14" s="92" t="s">
        <v>79</v>
      </c>
      <c r="C14" s="9" t="s">
        <v>80</v>
      </c>
      <c r="D14" s="9"/>
      <c r="E14" s="9"/>
      <c r="F14" s="12">
        <f>750+250</f>
        <v>1000</v>
      </c>
      <c r="G14" s="12">
        <v>0</v>
      </c>
      <c r="H14" s="12">
        <f t="shared" si="3"/>
        <v>1000</v>
      </c>
      <c r="I14" s="12">
        <v>505.92</v>
      </c>
      <c r="J14" s="12">
        <f t="shared" si="9"/>
        <v>0</v>
      </c>
      <c r="K14" s="12">
        <v>505.92</v>
      </c>
      <c r="L14" s="12">
        <f t="shared" si="11"/>
        <v>494.08</v>
      </c>
      <c r="M14" s="12"/>
      <c r="N14" s="12">
        <f t="shared" si="6"/>
        <v>505.92</v>
      </c>
      <c r="O14" s="12">
        <f t="shared" si="7"/>
        <v>494.08</v>
      </c>
    </row>
    <row r="15" spans="1:15" x14ac:dyDescent="0.25">
      <c r="B15" s="92" t="s">
        <v>18</v>
      </c>
      <c r="C15" s="9" t="s">
        <v>19</v>
      </c>
      <c r="D15" s="9"/>
      <c r="E15" s="9"/>
      <c r="F15" s="12">
        <f>1000+10000+4500</f>
        <v>15500</v>
      </c>
      <c r="G15" s="12">
        <v>0</v>
      </c>
      <c r="H15" s="12">
        <f t="shared" si="3"/>
        <v>15500</v>
      </c>
      <c r="I15" s="12">
        <v>20280.12</v>
      </c>
      <c r="J15" s="12">
        <f t="shared" si="9"/>
        <v>98.770000000000437</v>
      </c>
      <c r="K15" s="12">
        <v>20181.349999999999</v>
      </c>
      <c r="L15" s="12">
        <f t="shared" si="11"/>
        <v>-4780.119999999999</v>
      </c>
      <c r="M15" s="12">
        <f>250+1100</f>
        <v>1350</v>
      </c>
      <c r="N15" s="12">
        <f t="shared" si="6"/>
        <v>21630.12</v>
      </c>
      <c r="O15" s="12">
        <f t="shared" si="7"/>
        <v>-6130.119999999999</v>
      </c>
    </row>
    <row r="16" spans="1:15" x14ac:dyDescent="0.25">
      <c r="B16" s="92" t="s">
        <v>37</v>
      </c>
      <c r="C16" s="9" t="s">
        <v>92</v>
      </c>
      <c r="D16" s="9"/>
      <c r="E16" s="9"/>
      <c r="F16" s="12">
        <f>3750+1500+1000</f>
        <v>6250</v>
      </c>
      <c r="G16" s="12">
        <v>0</v>
      </c>
      <c r="H16" s="12">
        <f t="shared" si="3"/>
        <v>6250</v>
      </c>
      <c r="I16" s="12">
        <v>4555.16</v>
      </c>
      <c r="J16" s="12">
        <f t="shared" si="9"/>
        <v>265.73999999999978</v>
      </c>
      <c r="K16" s="12">
        <v>4289.42</v>
      </c>
      <c r="L16" s="12">
        <f t="shared" si="11"/>
        <v>1694.8400000000001</v>
      </c>
      <c r="M16" s="12">
        <f>890+700+300+250+250+300</f>
        <v>2690</v>
      </c>
      <c r="N16" s="12">
        <f t="shared" si="6"/>
        <v>7245.16</v>
      </c>
      <c r="O16" s="12">
        <f>H16-N16</f>
        <v>-995.15999999999985</v>
      </c>
    </row>
    <row r="17" spans="2:15" x14ac:dyDescent="0.25">
      <c r="B17" s="92" t="s">
        <v>10</v>
      </c>
      <c r="C17" s="8" t="s">
        <v>9</v>
      </c>
      <c r="D17" s="9"/>
      <c r="E17" s="9"/>
      <c r="F17" s="12">
        <f>1000+247.6+250</f>
        <v>1497.6</v>
      </c>
      <c r="G17" s="12">
        <v>0</v>
      </c>
      <c r="H17" s="12">
        <f t="shared" si="3"/>
        <v>1497.6</v>
      </c>
      <c r="I17" s="12">
        <v>227.93</v>
      </c>
      <c r="J17" s="12">
        <f t="shared" si="9"/>
        <v>0</v>
      </c>
      <c r="K17" s="12">
        <v>227.93</v>
      </c>
      <c r="L17" s="12">
        <f t="shared" si="11"/>
        <v>1269.6699999999998</v>
      </c>
      <c r="M17" s="12">
        <f>210+200</f>
        <v>410</v>
      </c>
      <c r="N17" s="12">
        <f t="shared" si="6"/>
        <v>637.93000000000006</v>
      </c>
      <c r="O17" s="12">
        <f t="shared" si="7"/>
        <v>859.66999999999985</v>
      </c>
    </row>
    <row r="18" spans="2:15" x14ac:dyDescent="0.25">
      <c r="B18" s="92" t="s">
        <v>22</v>
      </c>
      <c r="C18" s="8" t="s">
        <v>93</v>
      </c>
      <c r="D18" s="9"/>
      <c r="E18" s="9"/>
      <c r="F18" s="12">
        <v>2250</v>
      </c>
      <c r="G18" s="12">
        <v>0</v>
      </c>
      <c r="H18" s="12">
        <f t="shared" si="3"/>
        <v>2250</v>
      </c>
      <c r="I18" s="12">
        <v>2150.1799999999998</v>
      </c>
      <c r="J18" s="12">
        <f t="shared" si="9"/>
        <v>0</v>
      </c>
      <c r="K18" s="12">
        <v>2150.1799999999998</v>
      </c>
      <c r="L18" s="12">
        <f t="shared" si="11"/>
        <v>99.820000000000164</v>
      </c>
      <c r="M18" s="12"/>
      <c r="N18" s="12">
        <f t="shared" si="6"/>
        <v>2150.1799999999998</v>
      </c>
      <c r="O18" s="12">
        <f t="shared" si="7"/>
        <v>99.820000000000164</v>
      </c>
    </row>
    <row r="19" spans="2:15" x14ac:dyDescent="0.25">
      <c r="B19" s="92" t="s">
        <v>31</v>
      </c>
      <c r="C19" s="9" t="s">
        <v>32</v>
      </c>
      <c r="D19" s="9"/>
      <c r="E19" s="9"/>
      <c r="F19" s="12">
        <f>3000+650+3000</f>
        <v>6650</v>
      </c>
      <c r="G19" s="12">
        <v>580.79999999999995</v>
      </c>
      <c r="H19" s="12">
        <f t="shared" si="3"/>
        <v>7230.8</v>
      </c>
      <c r="I19" s="12">
        <v>2752.34</v>
      </c>
      <c r="J19" s="12">
        <f t="shared" si="9"/>
        <v>30</v>
      </c>
      <c r="K19" s="12">
        <v>2722.34</v>
      </c>
      <c r="L19" s="12">
        <f t="shared" si="11"/>
        <v>4478.46</v>
      </c>
      <c r="M19" s="12">
        <f>50+3000+100</f>
        <v>3150</v>
      </c>
      <c r="N19" s="12">
        <f t="shared" si="6"/>
        <v>5902.34</v>
      </c>
      <c r="O19" s="12">
        <f t="shared" si="7"/>
        <v>1328.46</v>
      </c>
    </row>
    <row r="20" spans="2:15" ht="15.75" customHeight="1" x14ac:dyDescent="0.25">
      <c r="B20" s="92" t="s">
        <v>23</v>
      </c>
      <c r="C20" s="8" t="s">
        <v>94</v>
      </c>
      <c r="D20" s="9"/>
      <c r="E20" s="9"/>
      <c r="F20" s="12">
        <v>0</v>
      </c>
      <c r="G20" s="12">
        <v>0</v>
      </c>
      <c r="H20" s="12">
        <f t="shared" si="3"/>
        <v>0</v>
      </c>
      <c r="I20" s="12">
        <v>0</v>
      </c>
      <c r="J20" s="12">
        <f t="shared" si="9"/>
        <v>0</v>
      </c>
      <c r="K20" s="12">
        <v>0</v>
      </c>
      <c r="L20" s="12">
        <f t="shared" si="11"/>
        <v>0</v>
      </c>
      <c r="N20" s="12">
        <f t="shared" ref="N20:N21" si="12">I20+M20</f>
        <v>0</v>
      </c>
      <c r="O20" s="12">
        <f t="shared" ref="O20:O21" si="13">H20-N20</f>
        <v>0</v>
      </c>
    </row>
    <row r="21" spans="2:15" x14ac:dyDescent="0.25">
      <c r="B21" s="92" t="s">
        <v>39</v>
      </c>
      <c r="C21" s="9" t="s">
        <v>38</v>
      </c>
      <c r="D21" s="9"/>
      <c r="E21" s="9"/>
      <c r="F21" s="12">
        <f>1500+850+3000</f>
        <v>5350</v>
      </c>
      <c r="G21" s="12">
        <v>8959.42</v>
      </c>
      <c r="H21" s="12">
        <f t="shared" si="3"/>
        <v>14309.42</v>
      </c>
      <c r="I21" s="12">
        <v>3081.87</v>
      </c>
      <c r="J21" s="12">
        <f t="shared" si="9"/>
        <v>0</v>
      </c>
      <c r="K21" s="12">
        <f>3510.62-428.75</f>
        <v>3081.87</v>
      </c>
      <c r="L21" s="12">
        <f t="shared" si="11"/>
        <v>11227.55</v>
      </c>
      <c r="M21" s="12">
        <f>3935.95+513.38+342.26</f>
        <v>4791.59</v>
      </c>
      <c r="N21" s="12">
        <f t="shared" si="12"/>
        <v>7873.46</v>
      </c>
      <c r="O21" s="12">
        <f t="shared" si="13"/>
        <v>6435.96</v>
      </c>
    </row>
    <row r="22" spans="2:15" ht="15.75" customHeight="1" x14ac:dyDescent="0.25">
      <c r="B22" s="92" t="s">
        <v>51</v>
      </c>
      <c r="C22" s="9" t="s">
        <v>52</v>
      </c>
      <c r="D22" s="9"/>
      <c r="E22" s="9"/>
      <c r="F22" s="12">
        <f>30.85+5536.1</f>
        <v>5566.9500000000007</v>
      </c>
      <c r="G22" s="12">
        <v>0</v>
      </c>
      <c r="H22" s="12">
        <f t="shared" si="3"/>
        <v>5566.9500000000007</v>
      </c>
      <c r="I22" s="12">
        <v>8308.83</v>
      </c>
      <c r="J22" s="12">
        <f t="shared" si="9"/>
        <v>50.816000000000713</v>
      </c>
      <c r="K22" s="12">
        <v>8258.0139999999992</v>
      </c>
      <c r="L22" s="12">
        <f t="shared" si="11"/>
        <v>-2741.8799999999992</v>
      </c>
      <c r="M22" s="12">
        <f>1500+300+300</f>
        <v>2100</v>
      </c>
      <c r="N22" s="12">
        <f t="shared" si="6"/>
        <v>10408.83</v>
      </c>
      <c r="O22" s="12">
        <f t="shared" si="7"/>
        <v>-4841.8799999999992</v>
      </c>
    </row>
    <row r="23" spans="2:15" ht="15.75" customHeight="1" x14ac:dyDescent="0.25">
      <c r="B23" s="100" t="s">
        <v>24</v>
      </c>
      <c r="C23" s="22" t="s">
        <v>118</v>
      </c>
      <c r="D23" s="9"/>
      <c r="E23" s="22"/>
      <c r="F23" s="12">
        <f>52000+48000+6079+18000+15000+4000+56000+16000+210000+120000+7920+66099.4+3000+750+30000+50000</f>
        <v>702848.4</v>
      </c>
      <c r="G23" s="12">
        <v>384332.47</v>
      </c>
      <c r="H23" s="12">
        <f>F23+G23</f>
        <v>1087180.8700000001</v>
      </c>
      <c r="I23" s="12">
        <v>227329.93</v>
      </c>
      <c r="J23" s="12">
        <f t="shared" si="9"/>
        <v>26175.929999999993</v>
      </c>
      <c r="K23" s="12">
        <v>201154</v>
      </c>
      <c r="L23" s="12">
        <f t="shared" si="11"/>
        <v>859850.94000000018</v>
      </c>
      <c r="M23" s="12">
        <f>800+15840+200+100+48213.06+251830.97+104612.43+5082+12465.43+18125.8+5962.88+15500</f>
        <v>478732.57</v>
      </c>
      <c r="N23" s="12">
        <f t="shared" si="6"/>
        <v>706062.5</v>
      </c>
      <c r="O23" s="12">
        <f t="shared" si="7"/>
        <v>381118.37000000011</v>
      </c>
    </row>
    <row r="24" spans="2:15" x14ac:dyDescent="0.25">
      <c r="B24" s="92" t="s">
        <v>27</v>
      </c>
      <c r="C24" s="8" t="s">
        <v>119</v>
      </c>
      <c r="D24" s="9"/>
      <c r="E24" s="9"/>
      <c r="F24" s="12">
        <f>3000+1500+4270.59+9550+30000</f>
        <v>48320.59</v>
      </c>
      <c r="G24" s="12">
        <v>13048.31</v>
      </c>
      <c r="H24" s="12">
        <f t="shared" si="3"/>
        <v>61368.899999999994</v>
      </c>
      <c r="I24" s="12">
        <v>75549.78</v>
      </c>
      <c r="J24" s="12">
        <f t="shared" si="9"/>
        <v>1043.6300000000047</v>
      </c>
      <c r="K24" s="12">
        <v>74506.149999999994</v>
      </c>
      <c r="L24" s="12">
        <f t="shared" si="11"/>
        <v>-14180.880000000005</v>
      </c>
      <c r="M24" s="12">
        <f>914.25+4592+19524.93+7296.3+254.4+2429.37</f>
        <v>35011.25</v>
      </c>
      <c r="N24" s="12">
        <f t="shared" si="6"/>
        <v>110561.03</v>
      </c>
      <c r="O24" s="12">
        <f t="shared" si="7"/>
        <v>-49192.130000000005</v>
      </c>
    </row>
    <row r="25" spans="2:15" x14ac:dyDescent="0.25">
      <c r="B25" s="92" t="s">
        <v>35</v>
      </c>
      <c r="C25" s="9" t="s">
        <v>25</v>
      </c>
      <c r="D25" s="9"/>
      <c r="E25" s="9"/>
      <c r="F25" s="12">
        <v>250</v>
      </c>
      <c r="G25" s="12">
        <v>0</v>
      </c>
      <c r="H25" s="12">
        <f t="shared" si="3"/>
        <v>250</v>
      </c>
      <c r="I25" s="12">
        <v>38.450000000000003</v>
      </c>
      <c r="J25" s="12">
        <f t="shared" si="9"/>
        <v>0</v>
      </c>
      <c r="K25" s="12">
        <v>38.450000000000003</v>
      </c>
      <c r="L25" s="12">
        <f t="shared" si="11"/>
        <v>211.55</v>
      </c>
      <c r="M25" s="12"/>
      <c r="N25" s="12">
        <f t="shared" si="6"/>
        <v>38.450000000000003</v>
      </c>
      <c r="O25" s="12">
        <f t="shared" si="7"/>
        <v>211.55</v>
      </c>
    </row>
    <row r="26" spans="2:15" x14ac:dyDescent="0.25">
      <c r="B26" s="92" t="s">
        <v>36</v>
      </c>
      <c r="C26" s="9" t="s">
        <v>26</v>
      </c>
      <c r="D26" s="9"/>
      <c r="E26" s="9"/>
      <c r="F26" s="12">
        <f>2000+300+750</f>
        <v>3050</v>
      </c>
      <c r="G26" s="12">
        <v>0</v>
      </c>
      <c r="H26" s="12">
        <f t="shared" si="3"/>
        <v>3050</v>
      </c>
      <c r="I26" s="12">
        <v>0</v>
      </c>
      <c r="J26" s="12">
        <f t="shared" si="9"/>
        <v>0</v>
      </c>
      <c r="K26" s="12">
        <v>0</v>
      </c>
      <c r="L26" s="12">
        <f t="shared" si="11"/>
        <v>3050</v>
      </c>
      <c r="M26" s="12"/>
      <c r="N26" s="12">
        <f t="shared" si="6"/>
        <v>0</v>
      </c>
      <c r="O26" s="12">
        <f t="shared" si="7"/>
        <v>3050</v>
      </c>
    </row>
    <row r="27" spans="2:15" x14ac:dyDescent="0.25">
      <c r="B27" s="92" t="s">
        <v>33</v>
      </c>
      <c r="C27" s="9" t="s">
        <v>29</v>
      </c>
      <c r="D27" s="9"/>
      <c r="E27" s="9"/>
      <c r="F27" s="12">
        <v>250</v>
      </c>
      <c r="G27" s="12">
        <v>0</v>
      </c>
      <c r="H27" s="12">
        <f t="shared" si="3"/>
        <v>250</v>
      </c>
      <c r="I27" s="12">
        <v>85.8</v>
      </c>
      <c r="J27" s="12">
        <f t="shared" si="9"/>
        <v>0</v>
      </c>
      <c r="K27" s="12">
        <v>85.8</v>
      </c>
      <c r="L27" s="12">
        <f t="shared" si="11"/>
        <v>164.2</v>
      </c>
      <c r="M27" s="12"/>
      <c r="N27" s="12">
        <f t="shared" si="6"/>
        <v>85.8</v>
      </c>
      <c r="O27" s="12">
        <f t="shared" si="7"/>
        <v>164.2</v>
      </c>
    </row>
    <row r="28" spans="2:15" x14ac:dyDescent="0.25">
      <c r="B28" s="92" t="s">
        <v>34</v>
      </c>
      <c r="C28" s="9" t="s">
        <v>30</v>
      </c>
      <c r="D28" s="9"/>
      <c r="E28" s="9"/>
      <c r="F28" s="12">
        <f>4000+750+1750</f>
        <v>6500</v>
      </c>
      <c r="G28" s="12">
        <v>0</v>
      </c>
      <c r="H28" s="12">
        <f t="shared" si="3"/>
        <v>6500</v>
      </c>
      <c r="I28" s="12">
        <v>206.12</v>
      </c>
      <c r="J28" s="12">
        <f t="shared" si="9"/>
        <v>0</v>
      </c>
      <c r="K28" s="12">
        <v>206.12</v>
      </c>
      <c r="L28" s="12">
        <f t="shared" si="11"/>
        <v>6293.88</v>
      </c>
      <c r="M28" s="12">
        <v>2800</v>
      </c>
      <c r="N28" s="12">
        <f t="shared" si="6"/>
        <v>3006.12</v>
      </c>
      <c r="O28" s="12">
        <f t="shared" si="7"/>
        <v>3493.88</v>
      </c>
    </row>
    <row r="29" spans="2:15" x14ac:dyDescent="0.25">
      <c r="B29" s="91" t="s">
        <v>28</v>
      </c>
      <c r="C29" s="10" t="s">
        <v>120</v>
      </c>
      <c r="D29" s="10"/>
      <c r="E29" s="10"/>
      <c r="F29" s="12">
        <f>4000+10000+10000+3000</f>
        <v>27000</v>
      </c>
      <c r="G29" s="12">
        <v>29591.91</v>
      </c>
      <c r="H29" s="12">
        <f t="shared" si="3"/>
        <v>56591.91</v>
      </c>
      <c r="I29" s="12">
        <v>23560.84</v>
      </c>
      <c r="J29" s="12">
        <f t="shared" si="9"/>
        <v>290.40000000000146</v>
      </c>
      <c r="K29" s="12">
        <v>23270.44</v>
      </c>
      <c r="L29" s="12">
        <f t="shared" si="11"/>
        <v>33031.070000000007</v>
      </c>
      <c r="M29" s="12">
        <f>500+12334+8183.25+10000</f>
        <v>31017.25</v>
      </c>
      <c r="N29" s="12">
        <f t="shared" ref="N29" si="14">I29+M29</f>
        <v>54578.09</v>
      </c>
      <c r="O29" s="12">
        <f t="shared" ref="O29" si="15">H29-N29</f>
        <v>2013.820000000007</v>
      </c>
    </row>
    <row r="31" spans="2:15" ht="14.25" customHeight="1" x14ac:dyDescent="0.25"/>
    <row r="32" spans="2:15" ht="15" customHeight="1" x14ac:dyDescent="0.25">
      <c r="B32" s="114"/>
    </row>
    <row r="33" spans="2:4" ht="15" customHeight="1" x14ac:dyDescent="0.25">
      <c r="B33" s="114"/>
    </row>
    <row r="34" spans="2:4" ht="15" customHeight="1" x14ac:dyDescent="0.25">
      <c r="B34" s="114"/>
      <c r="C34" s="108"/>
      <c r="D34" s="108"/>
    </row>
  </sheetData>
  <printOptions horizontalCentered="1"/>
  <pageMargins left="0" right="0" top="0.39370078740157483" bottom="0.39370078740157483" header="0.31496062992125984" footer="0.15748031496062992"/>
  <pageSetup paperSize="9" scale="71" fitToHeight="0" orientation="landscape" r:id="rId1"/>
  <headerFooter>
    <oddFooter>&amp;CSeguiment pressupost 2020 IERMB _ 30-09-2020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O32"/>
  <sheetViews>
    <sheetView showGridLines="0" view="pageLayout" zoomScaleNormal="100" workbookViewId="0">
      <selection activeCell="P24" sqref="P24"/>
    </sheetView>
  </sheetViews>
  <sheetFormatPr baseColWidth="10" defaultRowHeight="15" x14ac:dyDescent="0.25"/>
  <cols>
    <col min="1" max="1" width="15.7109375" customWidth="1"/>
    <col min="2" max="2" width="10.7109375" customWidth="1"/>
    <col min="3" max="3" width="1.28515625" customWidth="1"/>
    <col min="4" max="4" width="23.140625" customWidth="1"/>
    <col min="5" max="5" width="12.140625" customWidth="1"/>
    <col min="6" max="6" width="13.42578125" customWidth="1"/>
    <col min="7" max="7" width="16.140625" customWidth="1"/>
    <col min="8" max="8" width="15.28515625" customWidth="1"/>
    <col min="9" max="9" width="16.42578125" customWidth="1"/>
    <col min="10" max="10" width="14.42578125" hidden="1" customWidth="1"/>
    <col min="11" max="11" width="15" hidden="1" customWidth="1"/>
    <col min="12" max="12" width="14.5703125" hidden="1" customWidth="1"/>
    <col min="14" max="14" width="13.42578125" customWidth="1"/>
    <col min="15" max="15" width="13.28515625" customWidth="1"/>
  </cols>
  <sheetData>
    <row r="2" spans="1:15" ht="15.75" thickBot="1" x14ac:dyDescent="0.3"/>
    <row r="3" spans="1:15" s="19" customFormat="1" ht="18" thickBot="1" x14ac:dyDescent="0.35">
      <c r="A3" s="45" t="s">
        <v>46</v>
      </c>
      <c r="B3" s="46"/>
      <c r="C3" s="46"/>
      <c r="D3" s="46"/>
      <c r="E3" s="46"/>
      <c r="F3" s="89">
        <f t="shared" ref="F3:H3" si="0">F7</f>
        <v>430</v>
      </c>
      <c r="G3" s="89">
        <f t="shared" si="0"/>
        <v>0</v>
      </c>
      <c r="H3" s="89">
        <f t="shared" si="0"/>
        <v>430</v>
      </c>
      <c r="I3" s="89">
        <f t="shared" ref="I3:O3" si="1">I7</f>
        <v>402.1</v>
      </c>
      <c r="J3" s="89">
        <f t="shared" si="1"/>
        <v>0</v>
      </c>
      <c r="K3" s="89">
        <f t="shared" si="1"/>
        <v>402.1</v>
      </c>
      <c r="L3" s="89">
        <f t="shared" si="1"/>
        <v>27.899999999999977</v>
      </c>
      <c r="M3" s="137">
        <f t="shared" si="1"/>
        <v>80</v>
      </c>
      <c r="N3" s="137">
        <f t="shared" si="1"/>
        <v>482.1</v>
      </c>
      <c r="O3" s="137">
        <f t="shared" si="1"/>
        <v>-52.100000000000023</v>
      </c>
    </row>
    <row r="4" spans="1:15" ht="15.75" thickBot="1" x14ac:dyDescent="0.3"/>
    <row r="5" spans="1:15" s="48" customFormat="1" ht="45.75" thickBot="1" x14ac:dyDescent="0.3">
      <c r="A5" s="90" t="s">
        <v>64</v>
      </c>
      <c r="B5" s="60" t="s">
        <v>65</v>
      </c>
      <c r="C5" s="93"/>
      <c r="D5" s="94" t="s">
        <v>3</v>
      </c>
      <c r="E5" s="95"/>
      <c r="F5" s="80" t="s">
        <v>82</v>
      </c>
      <c r="G5" s="141" t="s">
        <v>132</v>
      </c>
      <c r="H5" s="102" t="s">
        <v>133</v>
      </c>
      <c r="I5" s="125" t="s">
        <v>164</v>
      </c>
      <c r="J5" s="126" t="s">
        <v>137</v>
      </c>
      <c r="K5" s="127" t="s">
        <v>138</v>
      </c>
      <c r="L5" s="128" t="s">
        <v>136</v>
      </c>
      <c r="M5" s="126" t="s">
        <v>158</v>
      </c>
      <c r="N5" s="151" t="s">
        <v>161</v>
      </c>
      <c r="O5" s="126" t="s">
        <v>157</v>
      </c>
    </row>
    <row r="6" spans="1:15" x14ac:dyDescent="0.25">
      <c r="M6" s="2"/>
      <c r="N6" s="2"/>
      <c r="O6" s="2"/>
    </row>
    <row r="7" spans="1:15" ht="15.75" thickBot="1" x14ac:dyDescent="0.3">
      <c r="A7" s="61">
        <v>462</v>
      </c>
      <c r="B7" s="49">
        <v>3</v>
      </c>
      <c r="C7" s="50" t="s">
        <v>59</v>
      </c>
      <c r="D7" s="51"/>
      <c r="E7" s="62"/>
      <c r="F7" s="52">
        <f>SUM(F8:F11)</f>
        <v>430</v>
      </c>
      <c r="G7" s="52">
        <f>SUM(G8:G11)</f>
        <v>0</v>
      </c>
      <c r="H7" s="52">
        <f>SUM(H8:H11)</f>
        <v>430</v>
      </c>
      <c r="I7" s="52">
        <f t="shared" ref="I7:O7" si="2">SUM(I8:I11)</f>
        <v>402.1</v>
      </c>
      <c r="J7" s="52">
        <f t="shared" si="2"/>
        <v>0</v>
      </c>
      <c r="K7" s="52">
        <f t="shared" si="2"/>
        <v>402.1</v>
      </c>
      <c r="L7" s="52">
        <f t="shared" si="2"/>
        <v>27.899999999999977</v>
      </c>
      <c r="M7" s="52">
        <f t="shared" si="2"/>
        <v>80</v>
      </c>
      <c r="N7" s="52">
        <f t="shared" si="2"/>
        <v>482.1</v>
      </c>
      <c r="O7" s="52">
        <f t="shared" si="2"/>
        <v>-52.100000000000023</v>
      </c>
    </row>
    <row r="8" spans="1:15" ht="15.75" thickTop="1" x14ac:dyDescent="0.25">
      <c r="A8" s="63" t="s">
        <v>66</v>
      </c>
      <c r="B8" s="92" t="s">
        <v>68</v>
      </c>
      <c r="C8" s="9" t="s">
        <v>95</v>
      </c>
      <c r="D8" s="9"/>
      <c r="E8" s="9"/>
      <c r="F8" s="20">
        <f>25+10+15</f>
        <v>50</v>
      </c>
      <c r="G8" s="20">
        <v>0</v>
      </c>
      <c r="H8" s="20">
        <f t="shared" ref="H8:H9" si="3">F8+G8</f>
        <v>50</v>
      </c>
      <c r="I8" s="12">
        <v>0</v>
      </c>
      <c r="J8" s="12">
        <f>I8-K8</f>
        <v>0</v>
      </c>
      <c r="K8" s="12">
        <v>0</v>
      </c>
      <c r="L8" s="12">
        <f>H8-I8</f>
        <v>50</v>
      </c>
      <c r="M8" s="12">
        <v>0</v>
      </c>
      <c r="N8" s="12">
        <f>I8+M8</f>
        <v>0</v>
      </c>
      <c r="O8" s="12">
        <f>H8-N8</f>
        <v>50</v>
      </c>
    </row>
    <row r="9" spans="1:15" x14ac:dyDescent="0.25">
      <c r="A9" s="63" t="s">
        <v>84</v>
      </c>
      <c r="B9" s="92">
        <v>35900</v>
      </c>
      <c r="C9" s="9" t="s">
        <v>69</v>
      </c>
      <c r="D9" s="9"/>
      <c r="E9" s="9"/>
      <c r="F9" s="65">
        <f>250+30+100</f>
        <v>380</v>
      </c>
      <c r="G9" s="65">
        <v>0</v>
      </c>
      <c r="H9" s="20">
        <f t="shared" si="3"/>
        <v>380</v>
      </c>
      <c r="I9" s="12">
        <v>402.1</v>
      </c>
      <c r="J9" s="12">
        <f>I9-K9</f>
        <v>0</v>
      </c>
      <c r="K9" s="12">
        <v>402.1</v>
      </c>
      <c r="L9" s="12">
        <f>H9-I9</f>
        <v>-22.100000000000023</v>
      </c>
      <c r="M9" s="12">
        <v>80</v>
      </c>
      <c r="N9" s="12">
        <f>I9+M9</f>
        <v>482.1</v>
      </c>
      <c r="O9" s="12">
        <f>H9-N9</f>
        <v>-102.10000000000002</v>
      </c>
    </row>
    <row r="10" spans="1:15" x14ac:dyDescent="0.25">
      <c r="A10" s="23" t="s">
        <v>67</v>
      </c>
      <c r="B10" s="117"/>
      <c r="C10" s="118"/>
      <c r="D10" s="118"/>
      <c r="E10" s="118"/>
      <c r="F10" s="119"/>
      <c r="G10" s="119"/>
      <c r="H10" s="119"/>
    </row>
    <row r="11" spans="1:15" x14ac:dyDescent="0.25">
      <c r="B11" s="4"/>
      <c r="C11" s="4"/>
      <c r="D11" s="4"/>
      <c r="E11" s="4"/>
      <c r="F11" s="4"/>
      <c r="G11" s="4"/>
      <c r="H11" s="4"/>
    </row>
    <row r="12" spans="1:15" ht="15.75" thickBot="1" x14ac:dyDescent="0.3"/>
    <row r="13" spans="1:15" ht="18" thickBot="1" x14ac:dyDescent="0.35">
      <c r="A13" s="45" t="s">
        <v>145</v>
      </c>
      <c r="B13" s="46"/>
      <c r="C13" s="46"/>
      <c r="D13" s="46"/>
      <c r="E13" s="139"/>
      <c r="F13" s="89">
        <f t="shared" ref="F13:H13" si="4">F17</f>
        <v>0</v>
      </c>
      <c r="G13" s="89">
        <f t="shared" si="4"/>
        <v>28500</v>
      </c>
      <c r="H13" s="89">
        <f t="shared" si="4"/>
        <v>28500</v>
      </c>
      <c r="I13" s="89">
        <f t="shared" ref="I13:O13" si="5">I17</f>
        <v>28500</v>
      </c>
      <c r="J13" s="89">
        <f t="shared" si="5"/>
        <v>18550</v>
      </c>
      <c r="K13" s="89">
        <f t="shared" si="5"/>
        <v>9950</v>
      </c>
      <c r="L13" s="89">
        <f t="shared" si="5"/>
        <v>0</v>
      </c>
      <c r="M13" s="137">
        <f t="shared" si="5"/>
        <v>0</v>
      </c>
      <c r="N13" s="137">
        <f t="shared" si="5"/>
        <v>28500</v>
      </c>
      <c r="O13" s="137">
        <f t="shared" si="5"/>
        <v>0</v>
      </c>
    </row>
    <row r="14" spans="1:15" ht="15" customHeight="1" thickBot="1" x14ac:dyDescent="0.3"/>
    <row r="15" spans="1:15" ht="45.75" thickBot="1" x14ac:dyDescent="0.3">
      <c r="A15" s="90" t="s">
        <v>64</v>
      </c>
      <c r="B15" s="60" t="s">
        <v>65</v>
      </c>
      <c r="C15" s="93"/>
      <c r="D15" s="94" t="s">
        <v>3</v>
      </c>
      <c r="E15" s="140"/>
      <c r="F15" s="80" t="s">
        <v>82</v>
      </c>
      <c r="G15" s="141" t="s">
        <v>132</v>
      </c>
      <c r="H15" s="102" t="s">
        <v>133</v>
      </c>
      <c r="I15" s="125" t="s">
        <v>164</v>
      </c>
      <c r="J15" s="126" t="s">
        <v>137</v>
      </c>
      <c r="K15" s="127" t="s">
        <v>138</v>
      </c>
      <c r="L15" s="128" t="s">
        <v>136</v>
      </c>
      <c r="M15" s="126" t="s">
        <v>158</v>
      </c>
      <c r="N15" s="151" t="s">
        <v>161</v>
      </c>
      <c r="O15" s="126" t="s">
        <v>157</v>
      </c>
    </row>
    <row r="16" spans="1:15" x14ac:dyDescent="0.25">
      <c r="M16" s="2"/>
      <c r="N16" s="2"/>
      <c r="O16" s="2"/>
    </row>
    <row r="17" spans="1:15" ht="15.75" thickBot="1" x14ac:dyDescent="0.3">
      <c r="A17" s="61">
        <v>462</v>
      </c>
      <c r="B17" s="49">
        <v>4</v>
      </c>
      <c r="C17" s="50" t="s">
        <v>140</v>
      </c>
      <c r="D17" s="51"/>
      <c r="E17" s="52"/>
      <c r="F17" s="52">
        <f>SUM(F18)</f>
        <v>0</v>
      </c>
      <c r="G17" s="52">
        <f t="shared" ref="G17:O17" si="6">SUM(G18)</f>
        <v>28500</v>
      </c>
      <c r="H17" s="52">
        <f t="shared" si="6"/>
        <v>28500</v>
      </c>
      <c r="I17" s="52">
        <f t="shared" si="6"/>
        <v>28500</v>
      </c>
      <c r="J17" s="52">
        <f t="shared" si="6"/>
        <v>18550</v>
      </c>
      <c r="K17" s="52">
        <f t="shared" si="6"/>
        <v>9950</v>
      </c>
      <c r="L17" s="52">
        <f t="shared" si="6"/>
        <v>0</v>
      </c>
      <c r="M17" s="52">
        <f t="shared" si="6"/>
        <v>0</v>
      </c>
      <c r="N17" s="52">
        <f t="shared" si="6"/>
        <v>28500</v>
      </c>
      <c r="O17" s="52">
        <f t="shared" si="6"/>
        <v>0</v>
      </c>
    </row>
    <row r="18" spans="1:15" ht="15.75" thickTop="1" x14ac:dyDescent="0.25">
      <c r="A18" s="63" t="s">
        <v>66</v>
      </c>
      <c r="B18" s="92" t="s">
        <v>146</v>
      </c>
      <c r="C18" s="9" t="s">
        <v>147</v>
      </c>
      <c r="D18" s="9"/>
      <c r="E18" s="20"/>
      <c r="F18" s="20">
        <v>0</v>
      </c>
      <c r="G18" s="12">
        <v>28500</v>
      </c>
      <c r="H18" s="12">
        <f>F18+G18</f>
        <v>28500</v>
      </c>
      <c r="I18" s="12">
        <v>28500</v>
      </c>
      <c r="J18" s="12">
        <f>I18-K18</f>
        <v>18550</v>
      </c>
      <c r="K18" s="12">
        <v>9950</v>
      </c>
      <c r="L18" s="12">
        <f>H18-I18</f>
        <v>0</v>
      </c>
      <c r="M18" s="12">
        <v>0</v>
      </c>
      <c r="N18" s="12">
        <f>I18+M18</f>
        <v>28500</v>
      </c>
      <c r="O18" s="12">
        <f>H18-N18</f>
        <v>0</v>
      </c>
    </row>
    <row r="19" spans="1:15" x14ac:dyDescent="0.25">
      <c r="A19" s="63" t="s">
        <v>84</v>
      </c>
      <c r="B19" s="123"/>
      <c r="C19" s="4"/>
      <c r="D19" s="4"/>
      <c r="E19" s="124"/>
      <c r="F19" s="109"/>
      <c r="G19" s="109"/>
    </row>
    <row r="20" spans="1:15" x14ac:dyDescent="0.25">
      <c r="A20" s="23" t="s">
        <v>67</v>
      </c>
      <c r="B20" s="123"/>
      <c r="C20" s="4"/>
      <c r="D20" s="4"/>
      <c r="E20" s="124"/>
      <c r="F20" s="109"/>
      <c r="G20" s="109"/>
    </row>
    <row r="22" spans="1:15" ht="15.75" thickBot="1" x14ac:dyDescent="0.3"/>
    <row r="23" spans="1:15" ht="18" thickBot="1" x14ac:dyDescent="0.35">
      <c r="A23" s="45" t="s">
        <v>100</v>
      </c>
      <c r="B23" s="46"/>
      <c r="C23" s="46"/>
      <c r="D23" s="46"/>
      <c r="E23" s="46"/>
      <c r="F23" s="89">
        <f t="shared" ref="F23:H23" si="7">F27</f>
        <v>12000</v>
      </c>
      <c r="G23" s="89">
        <f t="shared" si="7"/>
        <v>6500</v>
      </c>
      <c r="H23" s="89">
        <f t="shared" si="7"/>
        <v>18500</v>
      </c>
      <c r="I23" s="89">
        <f t="shared" ref="I23:O23" si="8">I27</f>
        <v>5613.33</v>
      </c>
      <c r="J23" s="89">
        <f t="shared" si="8"/>
        <v>0</v>
      </c>
      <c r="K23" s="89">
        <f t="shared" si="8"/>
        <v>5613.33</v>
      </c>
      <c r="L23" s="89">
        <f t="shared" si="8"/>
        <v>12886.670000000002</v>
      </c>
      <c r="M23" s="137">
        <f t="shared" si="8"/>
        <v>26124.66</v>
      </c>
      <c r="N23" s="137">
        <f t="shared" si="8"/>
        <v>31737.989999999998</v>
      </c>
      <c r="O23" s="137">
        <f t="shared" si="8"/>
        <v>-13237.989999999998</v>
      </c>
    </row>
    <row r="24" spans="1:15" ht="15.75" thickBot="1" x14ac:dyDescent="0.3"/>
    <row r="25" spans="1:15" ht="45.75" thickBot="1" x14ac:dyDescent="0.3">
      <c r="A25" s="90" t="s">
        <v>64</v>
      </c>
      <c r="B25" s="60" t="s">
        <v>65</v>
      </c>
      <c r="C25" s="93"/>
      <c r="D25" s="94" t="s">
        <v>3</v>
      </c>
      <c r="E25" s="95"/>
      <c r="F25" s="80" t="s">
        <v>82</v>
      </c>
      <c r="G25" s="141" t="s">
        <v>132</v>
      </c>
      <c r="H25" s="102" t="s">
        <v>133</v>
      </c>
      <c r="I25" s="125" t="s">
        <v>164</v>
      </c>
      <c r="J25" s="126" t="s">
        <v>137</v>
      </c>
      <c r="K25" s="127" t="s">
        <v>138</v>
      </c>
      <c r="L25" s="128" t="s">
        <v>136</v>
      </c>
      <c r="M25" s="126" t="s">
        <v>158</v>
      </c>
      <c r="N25" s="151" t="s">
        <v>161</v>
      </c>
      <c r="O25" s="126" t="s">
        <v>157</v>
      </c>
    </row>
    <row r="26" spans="1:15" x14ac:dyDescent="0.25">
      <c r="M26" s="2"/>
      <c r="N26" s="2"/>
      <c r="O26" s="2"/>
    </row>
    <row r="27" spans="1:15" ht="15.75" thickBot="1" x14ac:dyDescent="0.3">
      <c r="A27" s="61">
        <v>462</v>
      </c>
      <c r="B27" s="49">
        <v>6</v>
      </c>
      <c r="C27" s="50" t="s">
        <v>60</v>
      </c>
      <c r="D27" s="51"/>
      <c r="E27" s="62"/>
      <c r="F27" s="52">
        <f>SUM(F28:F32)</f>
        <v>12000</v>
      </c>
      <c r="G27" s="52">
        <f t="shared" ref="G27:M27" si="9">SUM(G28:G32)</f>
        <v>6500</v>
      </c>
      <c r="H27" s="52">
        <f t="shared" si="9"/>
        <v>18500</v>
      </c>
      <c r="I27" s="52">
        <f t="shared" si="9"/>
        <v>5613.33</v>
      </c>
      <c r="J27" s="52">
        <f t="shared" si="9"/>
        <v>0</v>
      </c>
      <c r="K27" s="52">
        <f t="shared" si="9"/>
        <v>5613.33</v>
      </c>
      <c r="L27" s="52">
        <f t="shared" si="9"/>
        <v>12886.670000000002</v>
      </c>
      <c r="M27" s="52">
        <f t="shared" si="9"/>
        <v>26124.66</v>
      </c>
      <c r="N27" s="52">
        <f>SUM(N28:N32)</f>
        <v>31737.989999999998</v>
      </c>
      <c r="O27" s="52">
        <f>SUM(O28:O32)</f>
        <v>-13237.989999999998</v>
      </c>
    </row>
    <row r="28" spans="1:15" ht="15.75" thickTop="1" x14ac:dyDescent="0.25">
      <c r="A28" s="61"/>
      <c r="B28" s="92" t="s">
        <v>127</v>
      </c>
      <c r="C28" s="8" t="s">
        <v>128</v>
      </c>
      <c r="D28" s="9"/>
      <c r="E28" s="8"/>
      <c r="F28" s="20">
        <v>500</v>
      </c>
      <c r="G28" s="20">
        <v>0</v>
      </c>
      <c r="H28" s="20">
        <f>F28+G28</f>
        <v>500</v>
      </c>
      <c r="I28" s="12">
        <v>0</v>
      </c>
      <c r="J28" s="12">
        <f>I28-K28</f>
        <v>0</v>
      </c>
      <c r="K28" s="12">
        <v>0</v>
      </c>
      <c r="L28" s="12">
        <f>H28-I28</f>
        <v>500</v>
      </c>
      <c r="M28" s="12">
        <v>0</v>
      </c>
      <c r="N28" s="12">
        <f>I28+M28</f>
        <v>0</v>
      </c>
      <c r="O28" s="12">
        <f>H28-N28</f>
        <v>500</v>
      </c>
    </row>
    <row r="29" spans="1:15" x14ac:dyDescent="0.25">
      <c r="A29" s="63" t="s">
        <v>66</v>
      </c>
      <c r="B29" s="92" t="s">
        <v>40</v>
      </c>
      <c r="C29" s="8" t="s">
        <v>96</v>
      </c>
      <c r="D29" s="9"/>
      <c r="E29" s="8"/>
      <c r="F29" s="20">
        <f>250+500+750</f>
        <v>1500</v>
      </c>
      <c r="G29" s="20">
        <v>0</v>
      </c>
      <c r="H29" s="20">
        <f t="shared" ref="H29:H31" si="10">F29+G29</f>
        <v>1500</v>
      </c>
      <c r="I29" s="12">
        <v>2389.39</v>
      </c>
      <c r="J29" s="12">
        <f t="shared" ref="J29:J31" si="11">I29-K29</f>
        <v>0</v>
      </c>
      <c r="K29" s="12">
        <v>2389.39</v>
      </c>
      <c r="L29" s="12">
        <f t="shared" ref="L29:L31" si="12">H29-I29</f>
        <v>-889.38999999999987</v>
      </c>
      <c r="M29" s="12">
        <f>1500+112.5</f>
        <v>1612.5</v>
      </c>
      <c r="N29" s="12">
        <f t="shared" ref="N29:N31" si="13">I29+M29</f>
        <v>4001.89</v>
      </c>
      <c r="O29" s="12">
        <f t="shared" ref="O29:O31" si="14">H29-N29</f>
        <v>-2501.89</v>
      </c>
    </row>
    <row r="30" spans="1:15" x14ac:dyDescent="0.25">
      <c r="A30" s="63" t="s">
        <v>84</v>
      </c>
      <c r="B30" s="92" t="s">
        <v>41</v>
      </c>
      <c r="C30" s="9" t="s">
        <v>97</v>
      </c>
      <c r="D30" s="9"/>
      <c r="E30" s="8"/>
      <c r="F30" s="20">
        <f>3000+1000+2500</f>
        <v>6500</v>
      </c>
      <c r="G30" s="20">
        <v>6500</v>
      </c>
      <c r="H30" s="20">
        <f t="shared" si="10"/>
        <v>13000</v>
      </c>
      <c r="I30" s="12">
        <v>1190.6400000000001</v>
      </c>
      <c r="J30" s="12">
        <f t="shared" si="11"/>
        <v>0</v>
      </c>
      <c r="K30" s="12">
        <v>1190.6400000000001</v>
      </c>
      <c r="L30" s="12">
        <f t="shared" si="12"/>
        <v>11809.36</v>
      </c>
      <c r="M30" s="167">
        <f>3000+7000+4212.16+2600+1700</f>
        <v>18512.16</v>
      </c>
      <c r="N30" s="12">
        <f t="shared" si="13"/>
        <v>19702.8</v>
      </c>
      <c r="O30" s="12">
        <f t="shared" si="14"/>
        <v>-6702.7999999999993</v>
      </c>
    </row>
    <row r="31" spans="1:15" x14ac:dyDescent="0.25">
      <c r="A31" s="23" t="s">
        <v>67</v>
      </c>
      <c r="B31" s="91" t="s">
        <v>42</v>
      </c>
      <c r="C31" s="10" t="s">
        <v>98</v>
      </c>
      <c r="D31" s="9"/>
      <c r="E31" s="10"/>
      <c r="F31" s="20">
        <f>1000+500</f>
        <v>1500</v>
      </c>
      <c r="G31" s="20">
        <v>0</v>
      </c>
      <c r="H31" s="20">
        <f t="shared" si="10"/>
        <v>1500</v>
      </c>
      <c r="I31" s="12">
        <v>0</v>
      </c>
      <c r="J31" s="12">
        <f t="shared" si="11"/>
        <v>0</v>
      </c>
      <c r="K31" s="12">
        <v>0</v>
      </c>
      <c r="L31" s="12">
        <f t="shared" si="12"/>
        <v>1500</v>
      </c>
      <c r="M31" s="12">
        <v>6000</v>
      </c>
      <c r="N31" s="12">
        <f t="shared" si="13"/>
        <v>6000</v>
      </c>
      <c r="O31" s="12">
        <f t="shared" si="14"/>
        <v>-4500</v>
      </c>
    </row>
    <row r="32" spans="1:15" x14ac:dyDescent="0.25">
      <c r="B32" s="92" t="s">
        <v>43</v>
      </c>
      <c r="C32" s="8" t="s">
        <v>99</v>
      </c>
      <c r="D32" s="9"/>
      <c r="E32" s="8"/>
      <c r="F32" s="20">
        <v>2000</v>
      </c>
      <c r="G32" s="20">
        <v>0</v>
      </c>
      <c r="H32" s="20">
        <f t="shared" ref="H32" si="15">F32+G32</f>
        <v>2000</v>
      </c>
      <c r="I32" s="12">
        <v>2033.3</v>
      </c>
      <c r="J32" s="12">
        <f t="shared" ref="J32" si="16">I32-K32</f>
        <v>0</v>
      </c>
      <c r="K32" s="12">
        <v>2033.3</v>
      </c>
      <c r="L32" s="12">
        <f t="shared" ref="L32" si="17">H32-I32</f>
        <v>-33.299999999999955</v>
      </c>
      <c r="M32" s="12">
        <v>0</v>
      </c>
      <c r="N32" s="12">
        <f t="shared" ref="N32" si="18">I32+M32</f>
        <v>2033.3</v>
      </c>
      <c r="O32" s="12">
        <f t="shared" ref="O32" si="19">H32-N32</f>
        <v>-33.299999999999955</v>
      </c>
    </row>
  </sheetData>
  <printOptions horizontalCentered="1"/>
  <pageMargins left="0" right="0" top="0.39370078740157483" bottom="0.39370078740157483" header="0.31496062992125984" footer="0.15748031496062992"/>
  <pageSetup paperSize="9" scale="92" fitToHeight="0" orientation="landscape" r:id="rId1"/>
  <headerFooter>
    <oddFooter>&amp;CSeguiment pressupost 2020 IERMB _ 30-09-2020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5" sqref="I15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</vt:lpstr>
      <vt:lpstr>Cap. 3 Ing. vendes</vt:lpstr>
      <vt:lpstr>Cap. 4 Ing. Transf.corrents</vt:lpstr>
      <vt:lpstr>Cap. 5 i 8 Ing. pat</vt:lpstr>
      <vt:lpstr>Cap. 1 Desp. Personal</vt:lpstr>
      <vt:lpstr>Cap. 2 Desp.Corrents</vt:lpstr>
      <vt:lpstr>Cap. 3-4-6 Df, Tc, Inv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Migoya Martinez</dc:creator>
  <cp:lastModifiedBy>María Reyes Ramírez Gómez</cp:lastModifiedBy>
  <cp:lastPrinted>2020-07-17T11:10:23Z</cp:lastPrinted>
  <dcterms:created xsi:type="dcterms:W3CDTF">2011-11-15T15:44:37Z</dcterms:created>
  <dcterms:modified xsi:type="dcterms:W3CDTF">2020-11-11T09:37:46Z</dcterms:modified>
</cp:coreProperties>
</file>