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Febrer 2021\Arxius dietes\"/>
    </mc:Choice>
  </mc:AlternateContent>
  <bookViews>
    <workbookView xWindow="120" yWindow="195" windowWidth="18915" windowHeight="11700" firstSheet="3" activeTab="3"/>
  </bookViews>
  <sheets>
    <sheet name="Dietes 30-04-2019" sheetId="12" r:id="rId1"/>
    <sheet name="Dietes OHB 30-04-2019" sheetId="13" r:id="rId2"/>
    <sheet name="Dietes IIAB 30-04-2019" sheetId="14" r:id="rId3"/>
    <sheet name="1r trim." sheetId="21" r:id="rId4"/>
    <sheet name="2n. trim." sheetId="22" r:id="rId5"/>
    <sheet name="3r. trim. " sheetId="23" r:id="rId6"/>
    <sheet name="4t. trim." sheetId="24" r:id="rId7"/>
  </sheets>
  <calcPr calcId="162913"/>
</workbook>
</file>

<file path=xl/calcChain.xml><?xml version="1.0" encoding="utf-8"?>
<calcChain xmlns="http://schemas.openxmlformats.org/spreadsheetml/2006/main">
  <c r="H34" i="24" l="1"/>
  <c r="H47" i="24"/>
  <c r="H49" i="24" s="1"/>
  <c r="H41" i="24"/>
  <c r="G36" i="24"/>
  <c r="G37" i="24"/>
  <c r="G40" i="24" l="1"/>
  <c r="H40" i="24" s="1"/>
  <c r="G39" i="24"/>
  <c r="H39" i="24" s="1"/>
  <c r="G44" i="24" l="1"/>
  <c r="H43" i="24" s="1"/>
  <c r="G45" i="24"/>
  <c r="H45" i="24" s="1"/>
  <c r="H36" i="24" l="1"/>
  <c r="H33" i="24"/>
  <c r="G15" i="24" l="1"/>
  <c r="G18" i="24"/>
  <c r="G16" i="24"/>
  <c r="G17" i="24"/>
  <c r="H15" i="24" l="1"/>
  <c r="H31" i="24"/>
  <c r="H26" i="24"/>
  <c r="H32" i="24"/>
  <c r="G21" i="24" l="1"/>
  <c r="G11" i="24" l="1"/>
  <c r="H11" i="24" s="1"/>
  <c r="G25" i="24"/>
  <c r="G22" i="24"/>
  <c r="G23" i="24"/>
  <c r="G24" i="24"/>
  <c r="H22" i="24" l="1"/>
  <c r="G30" i="24"/>
  <c r="G27" i="24"/>
  <c r="G29" i="24"/>
  <c r="G28" i="24"/>
  <c r="H27" i="24" l="1"/>
  <c r="H13" i="24"/>
  <c r="H21" i="23" l="1"/>
  <c r="G21" i="23"/>
  <c r="H21" i="24" l="1"/>
  <c r="H10" i="24"/>
  <c r="H25" i="23" l="1"/>
  <c r="H14" i="23" l="1"/>
  <c r="H17" i="23"/>
  <c r="H27" i="23" l="1"/>
  <c r="H15" i="23" l="1"/>
  <c r="G24" i="23" l="1"/>
  <c r="G11" i="23"/>
  <c r="H11" i="23" s="1"/>
  <c r="H30" i="23" l="1"/>
  <c r="G28" i="23"/>
  <c r="G29" i="23"/>
  <c r="H22" i="23"/>
  <c r="H20" i="23"/>
  <c r="H28" i="23" l="1"/>
  <c r="H34" i="23" s="1"/>
  <c r="H25" i="22"/>
  <c r="G24" i="22"/>
  <c r="H23" i="22" s="1"/>
  <c r="H60" i="22" l="1"/>
  <c r="H64" i="22" s="1"/>
  <c r="G39" i="22"/>
  <c r="H36" i="22" s="1"/>
  <c r="H22" i="22"/>
  <c r="H19" i="22"/>
  <c r="H47" i="22"/>
  <c r="H42" i="22"/>
  <c r="G31" i="22"/>
  <c r="G32" i="22"/>
  <c r="G33" i="22"/>
  <c r="G28" i="22"/>
  <c r="H12" i="22"/>
  <c r="G43" i="22"/>
  <c r="G44" i="22"/>
  <c r="H21" i="22"/>
  <c r="H41" i="22"/>
  <c r="G27" i="22"/>
  <c r="G26" i="22"/>
  <c r="H46" i="22"/>
  <c r="H17" i="22"/>
  <c r="H14" i="22"/>
  <c r="H11" i="22"/>
  <c r="H28" i="22" l="1"/>
  <c r="H43" i="22"/>
  <c r="H52" i="22"/>
  <c r="H57" i="22" s="1"/>
  <c r="H26" i="22"/>
  <c r="G33" i="21"/>
  <c r="G32" i="21"/>
  <c r="H49" i="22" l="1"/>
  <c r="H67" i="22" s="1"/>
  <c r="G20" i="21"/>
  <c r="H43" i="21" l="1"/>
  <c r="G10" i="13"/>
  <c r="G17" i="12" l="1"/>
  <c r="G21" i="21" l="1"/>
  <c r="H52" i="21" l="1"/>
  <c r="H57" i="21" s="1"/>
  <c r="G46" i="21"/>
  <c r="G45" i="21"/>
  <c r="H45" i="21" s="1"/>
  <c r="H42" i="21"/>
  <c r="H41" i="21"/>
  <c r="G36" i="21"/>
  <c r="H35" i="21"/>
  <c r="G35" i="21"/>
  <c r="G27" i="21"/>
  <c r="G26" i="21"/>
  <c r="H26" i="21" s="1"/>
  <c r="G29" i="21"/>
  <c r="H28" i="21"/>
  <c r="H30" i="21"/>
  <c r="H23" i="21"/>
  <c r="G22" i="21"/>
  <c r="H21" i="21"/>
  <c r="H19" i="21"/>
  <c r="G17" i="21"/>
  <c r="H17" i="21" s="1"/>
  <c r="H15" i="21"/>
  <c r="H13" i="21"/>
  <c r="H11" i="21"/>
  <c r="G8" i="14"/>
  <c r="H20" i="12"/>
  <c r="F13" i="13"/>
  <c r="F12" i="13"/>
  <c r="G12" i="13" s="1"/>
  <c r="H49" i="21" l="1"/>
  <c r="H32" i="21"/>
  <c r="H38" i="21" s="1"/>
  <c r="H60" i="21" s="1"/>
  <c r="G9" i="13" l="1"/>
  <c r="H16" i="12" l="1"/>
  <c r="G14" i="12"/>
  <c r="H14" i="12" s="1"/>
  <c r="G26" i="12" l="1"/>
  <c r="G25" i="12"/>
  <c r="G18" i="12" l="1"/>
  <c r="G19" i="12"/>
  <c r="H10" i="12" l="1"/>
  <c r="H8" i="12"/>
  <c r="G13" i="14" l="1"/>
  <c r="G8" i="13" l="1"/>
  <c r="H12" i="12"/>
  <c r="G16" i="13" l="1"/>
  <c r="H25" i="12"/>
  <c r="H18" i="12"/>
  <c r="H23" i="12" l="1"/>
  <c r="H29" i="12" l="1"/>
</calcChain>
</file>

<file path=xl/sharedStrings.xml><?xml version="1.0" encoding="utf-8"?>
<sst xmlns="http://schemas.openxmlformats.org/spreadsheetml/2006/main" count="421" uniqueCount="185">
  <si>
    <t>Treballador</t>
  </si>
  <si>
    <t>Concepte</t>
  </si>
  <si>
    <t>Import</t>
  </si>
  <si>
    <t>Pérez Pérez, Maite</t>
  </si>
  <si>
    <t>Porcel López, Sergio</t>
  </si>
  <si>
    <t>Galletto, Vittorio</t>
  </si>
  <si>
    <t>TOTAL</t>
  </si>
  <si>
    <t>Econòmica</t>
  </si>
  <si>
    <t>Cruz Gallach, Helena</t>
  </si>
  <si>
    <t>Estudi</t>
  </si>
  <si>
    <t>Total</t>
  </si>
  <si>
    <t>Bach Coma, Xavier</t>
  </si>
  <si>
    <t>DIR08</t>
  </si>
  <si>
    <t>Càtedra Martínez, Jorge</t>
  </si>
  <si>
    <t>18032K</t>
  </si>
  <si>
    <t>18009M</t>
  </si>
  <si>
    <t>IERMB</t>
  </si>
  <si>
    <t>OHB</t>
  </si>
  <si>
    <t>Coll Pujol, Francesc</t>
  </si>
  <si>
    <t>17064J</t>
  </si>
  <si>
    <t>17075F</t>
  </si>
  <si>
    <t>Alsina Maqueda, Alba</t>
  </si>
  <si>
    <t>Arcarons Camps, Aleix</t>
  </si>
  <si>
    <t>García Acosta, Xavier</t>
  </si>
  <si>
    <t>Relació dietes i desplaçaments  1n. Trimestre'19 (01/04/2019 - 30/06/2019)</t>
  </si>
  <si>
    <t>IIAB</t>
  </si>
  <si>
    <t>Relació dietes i desplaçaments  1r. Trimestre'19 (01/01/2019 - 31/03/2019)</t>
  </si>
  <si>
    <t>Relació quilometratge  1r. Trimestre'19</t>
  </si>
  <si>
    <t>Relació quilometratge  i tiquets desplaçament  1r. Trimestre'19</t>
  </si>
  <si>
    <t>19030N</t>
  </si>
  <si>
    <t>19020J</t>
  </si>
  <si>
    <t>19011A</t>
  </si>
  <si>
    <t>Relació quilometratge, tiquets desplaçament i dietes  1r. Trimestre'19</t>
  </si>
  <si>
    <t>18050F</t>
  </si>
  <si>
    <t>19001E</t>
  </si>
  <si>
    <t>Relació quilometratge  i tiquets desplaçament  1n. Trimestre'19</t>
  </si>
  <si>
    <t>Tiquets desplaçament  1r. Trimestre'19</t>
  </si>
  <si>
    <t>Tiquets desplaçament 1n. Trimestre'19</t>
  </si>
  <si>
    <t>Relació dietes 1n. Trimestre'19</t>
  </si>
  <si>
    <t>Truñó i Salvadó, Maria</t>
  </si>
  <si>
    <t>Relació desplaçaments 1º trimestre 2019</t>
  </si>
  <si>
    <t>Relació dietes 1º trimestre 2019</t>
  </si>
  <si>
    <t>Material oficina</t>
  </si>
  <si>
    <t>Relació tiquets desplaçament 1n. Trimestre '19</t>
  </si>
  <si>
    <t>Vergés, Anna</t>
  </si>
  <si>
    <t>Relació dietes 1r.Trimestre '19</t>
  </si>
  <si>
    <t>Productes higiene oficina</t>
  </si>
  <si>
    <t>TOTAL PROGRAMA 462.00</t>
  </si>
  <si>
    <t>Programa 462.00 - IERMB</t>
  </si>
  <si>
    <t>Programa 462.01 - OHB</t>
  </si>
  <si>
    <t>Programa 462.02 - IIAB</t>
  </si>
  <si>
    <t>DIR01</t>
  </si>
  <si>
    <t>Relació tiquets desplaçament 1r Trimestre '19</t>
  </si>
  <si>
    <t>19018J</t>
  </si>
  <si>
    <t>dus06j</t>
  </si>
  <si>
    <t>19029L</t>
  </si>
  <si>
    <t>19003P</t>
  </si>
  <si>
    <t>PDIR08</t>
  </si>
  <si>
    <t>TOTAL A PAGAR 30-04-2019</t>
  </si>
  <si>
    <t>López Oller, Joffre</t>
  </si>
  <si>
    <t>O19016</t>
  </si>
  <si>
    <t>O19017</t>
  </si>
  <si>
    <t>Relació tiquets desplaçament  1r. Trimestre'19</t>
  </si>
  <si>
    <t>DUS06J</t>
  </si>
  <si>
    <t>ODIR08</t>
  </si>
  <si>
    <t>O18001</t>
  </si>
  <si>
    <t xml:space="preserve">Programa 462.00 </t>
  </si>
  <si>
    <t xml:space="preserve"> IERMB</t>
  </si>
  <si>
    <t xml:space="preserve">Programa 462.01 </t>
  </si>
  <si>
    <t>Programa 462.02</t>
  </si>
  <si>
    <t>Relació dietes i desplaçaments  2N. Trimestre'19 (01/04/2019 - 30/06/2019)</t>
  </si>
  <si>
    <t>Tiquets desplaçament  2N. Trimestre'19</t>
  </si>
  <si>
    <t>Clipping premsa escrita</t>
  </si>
  <si>
    <t>O19005</t>
  </si>
  <si>
    <t>Relació tiquets desplaçament 2n. Trimestre '19</t>
  </si>
  <si>
    <t>Relació dietes 2n. Trimestre'19</t>
  </si>
  <si>
    <t>18083J</t>
  </si>
  <si>
    <t>19047F</t>
  </si>
  <si>
    <t>CSUJ01F</t>
  </si>
  <si>
    <t>Relació quilometratge 2n. Trimestre'19</t>
  </si>
  <si>
    <t>ERU04A</t>
  </si>
  <si>
    <t>19017K</t>
  </si>
  <si>
    <t>MOB05K</t>
  </si>
  <si>
    <t>Relació quilometratge, tiquets desplaçament i dietes 2n. Trimestre'19</t>
  </si>
  <si>
    <t>ECT07I</t>
  </si>
  <si>
    <t>19022I</t>
  </si>
  <si>
    <t>19024I</t>
  </si>
  <si>
    <t>19025I</t>
  </si>
  <si>
    <t>19023I</t>
  </si>
  <si>
    <t>Relació quilometratge   2n. Trimestre'19</t>
  </si>
  <si>
    <t>Relació quilometratge  2n. Trimestre'19</t>
  </si>
  <si>
    <t>Relació tiquets desplaçament 2n. Trimestre'19</t>
  </si>
  <si>
    <t>19014A</t>
  </si>
  <si>
    <t>19007H</t>
  </si>
  <si>
    <t>19043H</t>
  </si>
  <si>
    <t>CSU03H</t>
  </si>
  <si>
    <t>Relació quilometratge, tiquets desplaçament  2n. Trimestre'19</t>
  </si>
  <si>
    <t xml:space="preserve">Congrés sociologia València </t>
  </si>
  <si>
    <t>Simposi Criminologia Granada</t>
  </si>
  <si>
    <t>18059H</t>
  </si>
  <si>
    <t>TOTAL A PAGAR 17-07-2019</t>
  </si>
  <si>
    <t>TOTAL PROGRAMA 462.01</t>
  </si>
  <si>
    <t>TOTAL PROGRAMA 462.02</t>
  </si>
  <si>
    <t>Relació tiquets desplaçament i dietes 2n. Trimestre '19</t>
  </si>
  <si>
    <t>Workshop UE</t>
  </si>
  <si>
    <t xml:space="preserve">Programa </t>
  </si>
  <si>
    <t xml:space="preserve">462.00 </t>
  </si>
  <si>
    <t>462.01</t>
  </si>
  <si>
    <t>Programa</t>
  </si>
  <si>
    <t>462.02</t>
  </si>
  <si>
    <t>Relació dietes i desplaçaments  3r. Trimestre'19 (01/07/2019 - 30/09/2019)</t>
  </si>
  <si>
    <t>Relació tiquets desplaçament 3r. Trimestre '19</t>
  </si>
  <si>
    <t>17075Q</t>
  </si>
  <si>
    <t>Relació dietes 3r. Trimestre'19</t>
  </si>
  <si>
    <t>Relació quilometratge i tiquets desplaçaments 3r. Trimestre'19</t>
  </si>
  <si>
    <t>18085M</t>
  </si>
  <si>
    <t>GPP09M</t>
  </si>
  <si>
    <t>Relació  tiquets desplaçament  3r. Trimestre'19</t>
  </si>
  <si>
    <t>20002H</t>
  </si>
  <si>
    <t>Relació quilometratge  3r. Trimestre'19</t>
  </si>
  <si>
    <t>Relació tiquets desplaçament 3r. Trimestre'19</t>
  </si>
  <si>
    <t>Relació quilometratge   3r. Trimestre'19</t>
  </si>
  <si>
    <t>19005F</t>
  </si>
  <si>
    <t>19013A</t>
  </si>
  <si>
    <t>19076A</t>
  </si>
  <si>
    <t>TOTAL A PAGAR 18-10-2019</t>
  </si>
  <si>
    <t>20000E</t>
  </si>
  <si>
    <t>19042K</t>
  </si>
  <si>
    <t>Relació tiquets desplaçament i dietes 3r. Trimestre '19</t>
  </si>
  <si>
    <t>Seminari Lisboa 3r. Trimestre '19</t>
  </si>
  <si>
    <t>TOTAL A PAGAR 20-12-2019</t>
  </si>
  <si>
    <t>Relació quilometratge  4t. Trimestre'19</t>
  </si>
  <si>
    <t>Relació quilometratge i tiquets desplaçaments 4t. Trimestre'19</t>
  </si>
  <si>
    <t>19083A</t>
  </si>
  <si>
    <t>Relació quilometratge i tiquets desplaçament   4t. Trimestre'19</t>
  </si>
  <si>
    <t>19084F</t>
  </si>
  <si>
    <t>19087F</t>
  </si>
  <si>
    <t>CSU01F</t>
  </si>
  <si>
    <t>20000K</t>
  </si>
  <si>
    <t>19061K</t>
  </si>
  <si>
    <t>20010K</t>
  </si>
  <si>
    <t>Relació tiquets 4t. Trimestre'19</t>
  </si>
  <si>
    <t>Relació  quilometratge i tiquets desplaçament  4t. Trimestre'19</t>
  </si>
  <si>
    <t>Relació tiquets desplaçament  4t. Trimestre'19</t>
  </si>
  <si>
    <t>19080I</t>
  </si>
  <si>
    <t xml:space="preserve">Relació quilometratge, tiquets desplaçament i dietes 2n.  Trimestre'19 </t>
  </si>
  <si>
    <t>Relació Tiquets desplaçaments 4t. Trimestre'19</t>
  </si>
  <si>
    <t>Relació dietes i desplaçaments  4t. Trimestre'19 (01/10/2019 - 31/12/2019)</t>
  </si>
  <si>
    <t>P19003</t>
  </si>
  <si>
    <t>Leeds</t>
  </si>
  <si>
    <t>O19023</t>
  </si>
  <si>
    <t>O19021</t>
  </si>
  <si>
    <t>Relació dietes 4t. Trimestre '19</t>
  </si>
  <si>
    <t xml:space="preserve">Material oficina </t>
  </si>
  <si>
    <t>000240</t>
  </si>
  <si>
    <t>000008</t>
  </si>
  <si>
    <t>000054</t>
  </si>
  <si>
    <t>000223</t>
  </si>
  <si>
    <t>000147</t>
  </si>
  <si>
    <t>000262</t>
  </si>
  <si>
    <t>000243</t>
  </si>
  <si>
    <t>000245</t>
  </si>
  <si>
    <t>000076</t>
  </si>
  <si>
    <t>000021</t>
  </si>
  <si>
    <t>000242</t>
  </si>
  <si>
    <t>000250</t>
  </si>
  <si>
    <t>000257</t>
  </si>
  <si>
    <t>000251</t>
  </si>
  <si>
    <t>000249</t>
  </si>
  <si>
    <t>000270</t>
  </si>
  <si>
    <t>000165</t>
  </si>
  <si>
    <t>000255</t>
  </si>
  <si>
    <t>000040</t>
  </si>
  <si>
    <t>000222</t>
  </si>
  <si>
    <t>000159</t>
  </si>
  <si>
    <t>000009</t>
  </si>
  <si>
    <t>000019</t>
  </si>
  <si>
    <t>000029</t>
  </si>
  <si>
    <t>000261</t>
  </si>
  <si>
    <t>000247</t>
  </si>
  <si>
    <t>000024</t>
  </si>
  <si>
    <t>000265</t>
  </si>
  <si>
    <t>000289</t>
  </si>
  <si>
    <t>000278</t>
  </si>
  <si>
    <t>000271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</si>
</sst>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8" xfId="0" applyBorder="1"/>
    <xf numFmtId="4" fontId="0" fillId="0" borderId="8" xfId="0" applyNumberFormat="1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64" fontId="2" fillId="3" borderId="24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46" xfId="0" applyBorder="1"/>
    <xf numFmtId="164" fontId="3" fillId="0" borderId="1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0" fillId="0" borderId="50" xfId="0" applyBorder="1"/>
    <xf numFmtId="4" fontId="0" fillId="0" borderId="50" xfId="0" applyNumberFormat="1" applyBorder="1"/>
    <xf numFmtId="2" fontId="3" fillId="0" borderId="45" xfId="0" applyNumberFormat="1" applyFont="1" applyFill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46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164" fontId="3" fillId="0" borderId="56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2" fontId="3" fillId="0" borderId="57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" fontId="0" fillId="0" borderId="6" xfId="0" applyNumberFormat="1" applyBorder="1"/>
    <xf numFmtId="0" fontId="3" fillId="0" borderId="46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58" xfId="0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2" fontId="3" fillId="0" borderId="47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0" fontId="3" fillId="0" borderId="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164" fontId="2" fillId="3" borderId="60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62" xfId="0" applyBorder="1"/>
    <xf numFmtId="0" fontId="0" fillId="0" borderId="8" xfId="0" applyBorder="1" applyAlignment="1">
      <alignment wrapText="1"/>
    </xf>
    <xf numFmtId="4" fontId="0" fillId="0" borderId="31" xfId="0" applyNumberFormat="1" applyBorder="1"/>
    <xf numFmtId="0" fontId="3" fillId="0" borderId="46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/>
    </xf>
    <xf numFmtId="2" fontId="3" fillId="0" borderId="46" xfId="0" applyNumberFormat="1" applyFont="1" applyFill="1" applyBorder="1" applyAlignment="1">
      <alignment horizontal="center" vertical="center" wrapText="1"/>
    </xf>
    <xf numFmtId="164" fontId="3" fillId="0" borderId="5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2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164" fontId="3" fillId="0" borderId="49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3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right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4" borderId="51" xfId="0" applyFont="1" applyFill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0" fontId="5" fillId="0" borderId="53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right" vertical="center" wrapText="1"/>
    </xf>
    <xf numFmtId="164" fontId="5" fillId="4" borderId="44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164" fontId="3" fillId="0" borderId="33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" fillId="0" borderId="5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" fillId="0" borderId="25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4" borderId="5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403412</xdr:colOff>
      <xdr:row>1</xdr:row>
      <xdr:rowOff>78442</xdr:rowOff>
    </xdr:from>
    <xdr:to>
      <xdr:col>2</xdr:col>
      <xdr:colOff>1422587</xdr:colOff>
      <xdr:row>4</xdr:row>
      <xdr:rowOff>44824</xdr:rowOff>
    </xdr:to>
    <xdr:pic>
      <xdr:nvPicPr>
        <xdr:cNvPr id="3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294" y="280148"/>
          <a:ext cx="1019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38100</xdr:rowOff>
    </xdr:from>
    <xdr:to>
      <xdr:col>2</xdr:col>
      <xdr:colOff>1371600</xdr:colOff>
      <xdr:row>4</xdr:row>
      <xdr:rowOff>9525</xdr:rowOff>
    </xdr:to>
    <xdr:pic>
      <xdr:nvPicPr>
        <xdr:cNvPr id="2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38125"/>
          <a:ext cx="1019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</xdr:row>
      <xdr:rowOff>38100</xdr:rowOff>
    </xdr:from>
    <xdr:to>
      <xdr:col>2</xdr:col>
      <xdr:colOff>1323975</xdr:colOff>
      <xdr:row>4</xdr:row>
      <xdr:rowOff>9525</xdr:rowOff>
    </xdr:to>
    <xdr:pic>
      <xdr:nvPicPr>
        <xdr:cNvPr id="3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38125"/>
          <a:ext cx="1019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57150</xdr:rowOff>
    </xdr:from>
    <xdr:to>
      <xdr:col>2</xdr:col>
      <xdr:colOff>1390650</xdr:colOff>
      <xdr:row>4</xdr:row>
      <xdr:rowOff>28575</xdr:rowOff>
    </xdr:to>
    <xdr:pic>
      <xdr:nvPicPr>
        <xdr:cNvPr id="2" name="Imagen 2" descr="N:\LOGOS\IERMB\Logo IERMB sense no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57175"/>
          <a:ext cx="1019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3"/>
  <sheetViews>
    <sheetView zoomScale="70" zoomScaleNormal="70" workbookViewId="0">
      <selection activeCell="D40" sqref="D40"/>
    </sheetView>
  </sheetViews>
  <sheetFormatPr baseColWidth="10" defaultRowHeight="15" x14ac:dyDescent="0.25"/>
  <cols>
    <col min="1" max="1" width="3" customWidth="1"/>
    <col min="2" max="2" width="27.28515625" customWidth="1"/>
    <col min="3" max="3" width="25.140625" customWidth="1"/>
    <col min="4" max="4" width="57.5703125" customWidth="1"/>
    <col min="5" max="7" width="13.7109375" customWidth="1"/>
    <col min="8" max="8" width="15.85546875" customWidth="1"/>
    <col min="9" max="9" width="5.140625" customWidth="1"/>
    <col min="11" max="11" width="12.140625" bestFit="1" customWidth="1"/>
  </cols>
  <sheetData>
    <row r="2" spans="2:8" ht="15.75" thickBot="1" x14ac:dyDescent="0.3"/>
    <row r="3" spans="2:8" s="6" customFormat="1" ht="29.25" customHeight="1" thickBot="1" x14ac:dyDescent="0.3">
      <c r="C3" s="3" t="s">
        <v>26</v>
      </c>
      <c r="D3" s="4"/>
      <c r="E3" s="4"/>
      <c r="F3" s="4" t="s">
        <v>16</v>
      </c>
      <c r="G3" s="4"/>
      <c r="H3" s="5">
        <v>43585</v>
      </c>
    </row>
    <row r="5" spans="2:8" ht="15.75" thickBot="1" x14ac:dyDescent="0.3"/>
    <row r="6" spans="2:8" s="11" customFormat="1" ht="22.5" customHeight="1" thickBot="1" x14ac:dyDescent="0.3">
      <c r="C6" s="7" t="s">
        <v>0</v>
      </c>
      <c r="D6" s="8" t="s">
        <v>1</v>
      </c>
      <c r="E6" s="9" t="s">
        <v>7</v>
      </c>
      <c r="F6" s="9" t="s">
        <v>9</v>
      </c>
      <c r="G6" s="9" t="s">
        <v>2</v>
      </c>
      <c r="H6" s="10" t="s">
        <v>10</v>
      </c>
    </row>
    <row r="7" spans="2:8" ht="4.5" customHeight="1" thickBot="1" x14ac:dyDescent="0.3">
      <c r="C7" s="59"/>
      <c r="D7" s="59"/>
      <c r="E7" s="59"/>
      <c r="F7" s="59"/>
      <c r="G7" s="59"/>
      <c r="H7" s="60"/>
    </row>
    <row r="8" spans="2:8" s="13" customFormat="1" ht="24.95" customHeight="1" x14ac:dyDescent="0.25">
      <c r="B8" s="13" t="s">
        <v>48</v>
      </c>
      <c r="C8" s="194" t="s">
        <v>11</v>
      </c>
      <c r="D8" s="198" t="s">
        <v>32</v>
      </c>
      <c r="E8" s="188">
        <v>23120</v>
      </c>
      <c r="F8" s="188" t="s">
        <v>12</v>
      </c>
      <c r="G8" s="188">
        <v>8.0399999999999991</v>
      </c>
      <c r="H8" s="190">
        <f>G8</f>
        <v>8.0399999999999991</v>
      </c>
    </row>
    <row r="9" spans="2:8" s="13" customFormat="1" ht="24.95" customHeight="1" x14ac:dyDescent="0.25">
      <c r="C9" s="195"/>
      <c r="D9" s="199"/>
      <c r="E9" s="189"/>
      <c r="F9" s="189"/>
      <c r="G9" s="189"/>
      <c r="H9" s="191"/>
    </row>
    <row r="10" spans="2:8" s="13" customFormat="1" ht="24.95" customHeight="1" x14ac:dyDescent="0.25">
      <c r="C10" s="195"/>
      <c r="D10" s="199"/>
      <c r="E10" s="43">
        <v>23120</v>
      </c>
      <c r="F10" s="197" t="s">
        <v>14</v>
      </c>
      <c r="G10" s="44">
        <v>7.22</v>
      </c>
      <c r="H10" s="192">
        <f>G10+G11</f>
        <v>18.22</v>
      </c>
    </row>
    <row r="11" spans="2:8" s="13" customFormat="1" ht="24.95" customHeight="1" thickBot="1" x14ac:dyDescent="0.3">
      <c r="C11" s="196"/>
      <c r="D11" s="200"/>
      <c r="E11" s="45">
        <v>23020</v>
      </c>
      <c r="F11" s="181"/>
      <c r="G11" s="46">
        <v>11</v>
      </c>
      <c r="H11" s="193"/>
    </row>
    <row r="12" spans="2:8" s="13" customFormat="1" ht="24.95" customHeight="1" thickTop="1" x14ac:dyDescent="0.25">
      <c r="C12" s="170" t="s">
        <v>13</v>
      </c>
      <c r="D12" s="184" t="s">
        <v>27</v>
      </c>
      <c r="E12" s="186">
        <v>23120</v>
      </c>
      <c r="F12" s="40" t="s">
        <v>29</v>
      </c>
      <c r="G12" s="47">
        <v>15.5</v>
      </c>
      <c r="H12" s="178">
        <f>SUM(G12:G13)</f>
        <v>16.420000000000002</v>
      </c>
    </row>
    <row r="13" spans="2:8" s="13" customFormat="1" ht="24.95" customHeight="1" thickBot="1" x14ac:dyDescent="0.3">
      <c r="C13" s="183"/>
      <c r="D13" s="185"/>
      <c r="E13" s="187"/>
      <c r="F13" s="41" t="s">
        <v>30</v>
      </c>
      <c r="G13" s="42">
        <v>0.92</v>
      </c>
      <c r="H13" s="168"/>
    </row>
    <row r="14" spans="2:8" s="13" customFormat="1" ht="24.95" customHeight="1" thickTop="1" x14ac:dyDescent="0.25">
      <c r="C14" s="169" t="s">
        <v>18</v>
      </c>
      <c r="D14" s="172" t="s">
        <v>35</v>
      </c>
      <c r="E14" s="175">
        <v>23120</v>
      </c>
      <c r="F14" s="180" t="s">
        <v>55</v>
      </c>
      <c r="G14" s="182">
        <f>49.02+15</f>
        <v>64.02000000000001</v>
      </c>
      <c r="H14" s="178">
        <f>G14+G15</f>
        <v>64.02000000000001</v>
      </c>
    </row>
    <row r="15" spans="2:8" s="13" customFormat="1" ht="24.95" customHeight="1" thickBot="1" x14ac:dyDescent="0.3">
      <c r="C15" s="183"/>
      <c r="D15" s="185"/>
      <c r="E15" s="187"/>
      <c r="F15" s="181"/>
      <c r="G15" s="181"/>
      <c r="H15" s="168"/>
    </row>
    <row r="16" spans="2:8" s="13" customFormat="1" ht="24.95" customHeight="1" thickTop="1" x14ac:dyDescent="0.25">
      <c r="C16" s="170" t="s">
        <v>8</v>
      </c>
      <c r="D16" s="184" t="s">
        <v>35</v>
      </c>
      <c r="E16" s="186">
        <v>23120</v>
      </c>
      <c r="F16" s="44" t="s">
        <v>12</v>
      </c>
      <c r="G16" s="61">
        <v>5.3</v>
      </c>
      <c r="H16" s="167">
        <f>SUM(G16:G17)</f>
        <v>42.05</v>
      </c>
    </row>
    <row r="17" spans="2:8" s="13" customFormat="1" ht="24.95" customHeight="1" thickBot="1" x14ac:dyDescent="0.3">
      <c r="C17" s="183"/>
      <c r="D17" s="185"/>
      <c r="E17" s="187"/>
      <c r="F17" s="41" t="s">
        <v>15</v>
      </c>
      <c r="G17" s="42">
        <f>25.4+1.7+2+6.65+1</f>
        <v>36.75</v>
      </c>
      <c r="H17" s="168"/>
    </row>
    <row r="18" spans="2:8" s="13" customFormat="1" ht="24.95" customHeight="1" thickTop="1" x14ac:dyDescent="0.25">
      <c r="C18" s="170" t="s">
        <v>5</v>
      </c>
      <c r="D18" s="184" t="s">
        <v>28</v>
      </c>
      <c r="E18" s="186">
        <v>23120</v>
      </c>
      <c r="F18" s="44" t="s">
        <v>31</v>
      </c>
      <c r="G18" s="46">
        <f>9.68+5.7</f>
        <v>15.379999999999999</v>
      </c>
      <c r="H18" s="167">
        <f>G18+G19</f>
        <v>59.959999999999994</v>
      </c>
    </row>
    <row r="19" spans="2:8" s="13" customFormat="1" ht="24.95" customHeight="1" thickBot="1" x14ac:dyDescent="0.3">
      <c r="C19" s="183"/>
      <c r="D19" s="185"/>
      <c r="E19" s="187"/>
      <c r="F19" s="41" t="s">
        <v>12</v>
      </c>
      <c r="G19" s="42">
        <f>37.78+4.65+2.15</f>
        <v>44.58</v>
      </c>
      <c r="H19" s="168"/>
    </row>
    <row r="20" spans="2:8" s="13" customFormat="1" ht="24.95" customHeight="1" thickTop="1" x14ac:dyDescent="0.25">
      <c r="C20" s="169" t="s">
        <v>23</v>
      </c>
      <c r="D20" s="172" t="s">
        <v>52</v>
      </c>
      <c r="E20" s="175">
        <v>23120</v>
      </c>
      <c r="F20" s="44" t="s">
        <v>19</v>
      </c>
      <c r="G20" s="61">
        <v>6.6</v>
      </c>
      <c r="H20" s="178">
        <f>SUM(G20:G22)</f>
        <v>26.999999999999996</v>
      </c>
    </row>
    <row r="21" spans="2:8" s="13" customFormat="1" ht="24.95" customHeight="1" x14ac:dyDescent="0.25">
      <c r="C21" s="170"/>
      <c r="D21" s="173"/>
      <c r="E21" s="176"/>
      <c r="F21" s="44" t="s">
        <v>53</v>
      </c>
      <c r="G21" s="61">
        <v>10.199999999999999</v>
      </c>
      <c r="H21" s="167"/>
    </row>
    <row r="22" spans="2:8" s="13" customFormat="1" ht="24.95" customHeight="1" thickBot="1" x14ac:dyDescent="0.3">
      <c r="C22" s="171"/>
      <c r="D22" s="174"/>
      <c r="E22" s="177"/>
      <c r="F22" s="48" t="s">
        <v>54</v>
      </c>
      <c r="G22" s="49">
        <v>10.199999999999999</v>
      </c>
      <c r="H22" s="179"/>
    </row>
    <row r="23" spans="2:8" s="13" customFormat="1" ht="24.95" customHeight="1" thickTop="1" x14ac:dyDescent="0.25">
      <c r="C23" s="169" t="s">
        <v>3</v>
      </c>
      <c r="D23" s="172" t="s">
        <v>28</v>
      </c>
      <c r="E23" s="175">
        <v>23120</v>
      </c>
      <c r="F23" s="40">
        <v>19017</v>
      </c>
      <c r="G23" s="65">
        <v>40.380000000000003</v>
      </c>
      <c r="H23" s="178">
        <f>G23+G24</f>
        <v>111.78</v>
      </c>
    </row>
    <row r="24" spans="2:8" s="13" customFormat="1" ht="24.95" customHeight="1" thickBot="1" x14ac:dyDescent="0.3">
      <c r="C24" s="201"/>
      <c r="D24" s="202"/>
      <c r="E24" s="203"/>
      <c r="F24" s="66" t="s">
        <v>12</v>
      </c>
      <c r="G24" s="66">
        <v>71.400000000000006</v>
      </c>
      <c r="H24" s="204"/>
    </row>
    <row r="25" spans="2:8" s="13" customFormat="1" ht="24.95" customHeight="1" thickTop="1" x14ac:dyDescent="0.25">
      <c r="C25" s="169" t="s">
        <v>4</v>
      </c>
      <c r="D25" s="172" t="s">
        <v>28</v>
      </c>
      <c r="E25" s="175">
        <v>23120</v>
      </c>
      <c r="F25" s="40" t="s">
        <v>33</v>
      </c>
      <c r="G25" s="40">
        <f>33.7*0.19+8.25</f>
        <v>14.653</v>
      </c>
      <c r="H25" s="178">
        <f>G25+G26+G27</f>
        <v>55.031999999999996</v>
      </c>
    </row>
    <row r="26" spans="2:8" s="13" customFormat="1" ht="24.95" customHeight="1" x14ac:dyDescent="0.25">
      <c r="C26" s="170"/>
      <c r="D26" s="184"/>
      <c r="E26" s="186"/>
      <c r="F26" s="50" t="s">
        <v>12</v>
      </c>
      <c r="G26" s="51">
        <f>19.779+10.4</f>
        <v>30.179000000000002</v>
      </c>
      <c r="H26" s="167"/>
    </row>
    <row r="27" spans="2:8" s="13" customFormat="1" ht="24.95" customHeight="1" thickBot="1" x14ac:dyDescent="0.3">
      <c r="C27" s="170"/>
      <c r="D27" s="184"/>
      <c r="E27" s="186"/>
      <c r="F27" s="50" t="s">
        <v>34</v>
      </c>
      <c r="G27" s="51">
        <v>10.199999999999999</v>
      </c>
      <c r="H27" s="167"/>
    </row>
    <row r="28" spans="2:8" s="13" customFormat="1" ht="12" customHeight="1" thickTop="1" thickBot="1" x14ac:dyDescent="0.3">
      <c r="C28" s="20"/>
      <c r="D28" s="21"/>
      <c r="E28" s="22"/>
      <c r="F28" s="22"/>
      <c r="G28" s="22"/>
      <c r="H28" s="23"/>
    </row>
    <row r="29" spans="2:8" s="12" customFormat="1" ht="32.25" customHeight="1" thickBot="1" x14ac:dyDescent="0.3">
      <c r="C29" s="205" t="s">
        <v>47</v>
      </c>
      <c r="D29" s="206"/>
      <c r="E29" s="206"/>
      <c r="F29" s="206"/>
      <c r="G29" s="207"/>
      <c r="H29" s="19">
        <f>SUM(H7:H28)</f>
        <v>402.52199999999999</v>
      </c>
    </row>
    <row r="31" spans="2:8" x14ac:dyDescent="0.25">
      <c r="B31" s="13"/>
    </row>
    <row r="32" spans="2:8" x14ac:dyDescent="0.25">
      <c r="B32" s="13" t="s">
        <v>49</v>
      </c>
    </row>
    <row r="43" spans="2:2" x14ac:dyDescent="0.25">
      <c r="B43" s="13" t="s">
        <v>50</v>
      </c>
    </row>
  </sheetData>
  <mergeCells count="39">
    <mergeCell ref="C29:G29"/>
    <mergeCell ref="D25:D27"/>
    <mergeCell ref="E25:E27"/>
    <mergeCell ref="C25:C27"/>
    <mergeCell ref="H25:H27"/>
    <mergeCell ref="C23:C24"/>
    <mergeCell ref="D23:D24"/>
    <mergeCell ref="E23:E24"/>
    <mergeCell ref="H23:H24"/>
    <mergeCell ref="C12:C13"/>
    <mergeCell ref="D12:D13"/>
    <mergeCell ref="E12:E13"/>
    <mergeCell ref="H12:H13"/>
    <mergeCell ref="C18:C19"/>
    <mergeCell ref="D18:D19"/>
    <mergeCell ref="E18:E19"/>
    <mergeCell ref="H18:H19"/>
    <mergeCell ref="C14:C15"/>
    <mergeCell ref="D14:D15"/>
    <mergeCell ref="E14:E15"/>
    <mergeCell ref="H14:H15"/>
    <mergeCell ref="G8:G9"/>
    <mergeCell ref="H8:H9"/>
    <mergeCell ref="H10:H11"/>
    <mergeCell ref="C8:C11"/>
    <mergeCell ref="F8:F9"/>
    <mergeCell ref="F10:F11"/>
    <mergeCell ref="D8:D11"/>
    <mergeCell ref="E8:E9"/>
    <mergeCell ref="F14:F15"/>
    <mergeCell ref="G14:G15"/>
    <mergeCell ref="C16:C17"/>
    <mergeCell ref="D16:D17"/>
    <mergeCell ref="E16:E17"/>
    <mergeCell ref="H16:H17"/>
    <mergeCell ref="C20:C22"/>
    <mergeCell ref="D20:D22"/>
    <mergeCell ref="E20:E22"/>
    <mergeCell ref="H20:H2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6"/>
  <sheetViews>
    <sheetView workbookViewId="0">
      <selection activeCell="C26" sqref="C26"/>
    </sheetView>
  </sheetViews>
  <sheetFormatPr baseColWidth="10" defaultRowHeight="15" x14ac:dyDescent="0.25"/>
  <cols>
    <col min="1" max="1" width="6.5703125" customWidth="1"/>
    <col min="2" max="2" width="25.140625" customWidth="1"/>
    <col min="3" max="3" width="57.5703125" customWidth="1"/>
    <col min="4" max="6" width="13.7109375" customWidth="1"/>
    <col min="7" max="7" width="15.85546875" customWidth="1"/>
    <col min="8" max="8" width="8.5703125" customWidth="1"/>
    <col min="10" max="10" width="12.140625" bestFit="1" customWidth="1"/>
  </cols>
  <sheetData>
    <row r="2" spans="2:7" ht="15.75" thickBot="1" x14ac:dyDescent="0.3"/>
    <row r="3" spans="2:7" s="6" customFormat="1" ht="29.25" customHeight="1" thickBot="1" x14ac:dyDescent="0.3">
      <c r="B3" s="3" t="s">
        <v>26</v>
      </c>
      <c r="C3" s="4"/>
      <c r="D3" s="4"/>
      <c r="E3" s="4" t="s">
        <v>17</v>
      </c>
      <c r="F3" s="4"/>
      <c r="G3" s="5">
        <v>43585</v>
      </c>
    </row>
    <row r="5" spans="2:7" ht="15.75" thickBot="1" x14ac:dyDescent="0.3"/>
    <row r="6" spans="2:7" s="11" customFormat="1" ht="22.5" customHeight="1" thickBot="1" x14ac:dyDescent="0.3">
      <c r="B6" s="7" t="s">
        <v>0</v>
      </c>
      <c r="C6" s="8" t="s">
        <v>1</v>
      </c>
      <c r="D6" s="9" t="s">
        <v>7</v>
      </c>
      <c r="E6" s="9" t="s">
        <v>9</v>
      </c>
      <c r="F6" s="9" t="s">
        <v>2</v>
      </c>
      <c r="G6" s="10" t="s">
        <v>10</v>
      </c>
    </row>
    <row r="7" spans="2:7" ht="4.5" customHeight="1" thickBot="1" x14ac:dyDescent="0.3">
      <c r="B7" s="1"/>
      <c r="C7" s="1"/>
      <c r="D7" s="1"/>
      <c r="E7" s="1"/>
      <c r="F7" s="1"/>
      <c r="G7" s="2"/>
    </row>
    <row r="8" spans="2:7" s="13" customFormat="1" ht="24.95" customHeight="1" thickTop="1" thickBot="1" x14ac:dyDescent="0.3">
      <c r="B8" s="16" t="s">
        <v>22</v>
      </c>
      <c r="C8" s="17" t="s">
        <v>36</v>
      </c>
      <c r="D8" s="18">
        <v>23120</v>
      </c>
      <c r="E8" s="18"/>
      <c r="F8" s="18">
        <v>16.2</v>
      </c>
      <c r="G8" s="34">
        <f>F8</f>
        <v>16.2</v>
      </c>
    </row>
    <row r="9" spans="2:7" s="13" customFormat="1" ht="24.95" customHeight="1" thickTop="1" thickBot="1" x14ac:dyDescent="0.3">
      <c r="B9" s="52" t="s">
        <v>21</v>
      </c>
      <c r="C9" s="53" t="s">
        <v>36</v>
      </c>
      <c r="D9" s="54">
        <v>23120</v>
      </c>
      <c r="E9" s="55" t="s">
        <v>12</v>
      </c>
      <c r="F9" s="56">
        <v>34.9</v>
      </c>
      <c r="G9" s="58">
        <f>F9</f>
        <v>34.9</v>
      </c>
    </row>
    <row r="10" spans="2:7" s="13" customFormat="1" ht="24.95" customHeight="1" thickTop="1" x14ac:dyDescent="0.25">
      <c r="B10" s="169" t="s">
        <v>59</v>
      </c>
      <c r="C10" s="172" t="s">
        <v>36</v>
      </c>
      <c r="D10" s="175">
        <v>23120</v>
      </c>
      <c r="E10" s="44" t="s">
        <v>60</v>
      </c>
      <c r="F10" s="46">
        <v>14.85</v>
      </c>
      <c r="G10" s="178">
        <f>F10+F11</f>
        <v>23.799999999999997</v>
      </c>
    </row>
    <row r="11" spans="2:7" s="13" customFormat="1" ht="24.95" customHeight="1" thickBot="1" x14ac:dyDescent="0.3">
      <c r="B11" s="171"/>
      <c r="C11" s="174"/>
      <c r="D11" s="177"/>
      <c r="E11" s="44" t="s">
        <v>61</v>
      </c>
      <c r="F11" s="46">
        <v>8.9499999999999993</v>
      </c>
      <c r="G11" s="179"/>
    </row>
    <row r="12" spans="2:7" s="13" customFormat="1" ht="24.95" customHeight="1" thickTop="1" x14ac:dyDescent="0.25">
      <c r="B12" s="211" t="s">
        <v>44</v>
      </c>
      <c r="C12" s="57" t="s">
        <v>36</v>
      </c>
      <c r="D12" s="26">
        <v>23120</v>
      </c>
      <c r="E12" s="15" t="s">
        <v>51</v>
      </c>
      <c r="F12" s="27">
        <f>5+11.9+4.95+17.5+14.5+15.05+13.05+6.8+5.9+11.15+9.45+7.25</f>
        <v>122.5</v>
      </c>
      <c r="G12" s="208">
        <f>SUM(F12:F14)</f>
        <v>156.6</v>
      </c>
    </row>
    <row r="13" spans="2:7" s="13" customFormat="1" ht="24.95" customHeight="1" x14ac:dyDescent="0.25">
      <c r="B13" s="212"/>
      <c r="C13" s="39" t="s">
        <v>45</v>
      </c>
      <c r="D13" s="38">
        <v>23020</v>
      </c>
      <c r="E13" s="24" t="s">
        <v>51</v>
      </c>
      <c r="F13" s="30">
        <f>18.5+11.1</f>
        <v>29.6</v>
      </c>
      <c r="G13" s="209"/>
    </row>
    <row r="14" spans="2:7" s="13" customFormat="1" ht="24.95" customHeight="1" thickBot="1" x14ac:dyDescent="0.3">
      <c r="B14" s="213"/>
      <c r="C14" s="32" t="s">
        <v>46</v>
      </c>
      <c r="D14" s="36">
        <v>22699</v>
      </c>
      <c r="E14" s="14" t="s">
        <v>51</v>
      </c>
      <c r="F14" s="28">
        <v>4.5</v>
      </c>
      <c r="G14" s="210"/>
    </row>
    <row r="15" spans="2:7" s="13" customFormat="1" ht="12" customHeight="1" thickTop="1" thickBot="1" x14ac:dyDescent="0.3">
      <c r="B15" s="20"/>
      <c r="C15" s="21"/>
      <c r="D15" s="22"/>
      <c r="E15" s="22"/>
      <c r="F15" s="22"/>
      <c r="G15" s="23"/>
    </row>
    <row r="16" spans="2:7" s="12" customFormat="1" ht="32.25" customHeight="1" thickBot="1" x14ac:dyDescent="0.3">
      <c r="B16" s="205" t="s">
        <v>6</v>
      </c>
      <c r="C16" s="206"/>
      <c r="D16" s="206"/>
      <c r="E16" s="206"/>
      <c r="F16" s="207"/>
      <c r="G16" s="19">
        <f>SUM(G7:G15)</f>
        <v>231.5</v>
      </c>
    </row>
  </sheetData>
  <mergeCells count="7">
    <mergeCell ref="B16:F16"/>
    <mergeCell ref="G12:G14"/>
    <mergeCell ref="B12:B14"/>
    <mergeCell ref="B10:B11"/>
    <mergeCell ref="C10:C11"/>
    <mergeCell ref="D10:D11"/>
    <mergeCell ref="G10:G11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workbookViewId="0"/>
  </sheetViews>
  <sheetFormatPr baseColWidth="10" defaultRowHeight="15" x14ac:dyDescent="0.25"/>
  <cols>
    <col min="1" max="1" width="6.5703125" customWidth="1"/>
    <col min="2" max="2" width="25.140625" customWidth="1"/>
    <col min="3" max="3" width="57.5703125" customWidth="1"/>
    <col min="4" max="6" width="13.7109375" customWidth="1"/>
    <col min="7" max="7" width="15.85546875" customWidth="1"/>
    <col min="8" max="8" width="5.140625" customWidth="1"/>
    <col min="10" max="10" width="12.140625" bestFit="1" customWidth="1"/>
  </cols>
  <sheetData>
    <row r="2" spans="2:7" ht="15.75" thickBot="1" x14ac:dyDescent="0.3"/>
    <row r="3" spans="2:7" s="6" customFormat="1" ht="29.25" customHeight="1" thickBot="1" x14ac:dyDescent="0.3">
      <c r="B3" s="3" t="s">
        <v>24</v>
      </c>
      <c r="C3" s="4"/>
      <c r="D3" s="4"/>
      <c r="E3" s="4" t="s">
        <v>25</v>
      </c>
      <c r="F3" s="4"/>
      <c r="G3" s="5">
        <v>43585</v>
      </c>
    </row>
    <row r="5" spans="2:7" ht="15.75" thickBot="1" x14ac:dyDescent="0.3"/>
    <row r="6" spans="2:7" s="11" customFormat="1" ht="22.5" customHeight="1" thickBot="1" x14ac:dyDescent="0.3">
      <c r="B6" s="7" t="s">
        <v>0</v>
      </c>
      <c r="C6" s="8" t="s">
        <v>1</v>
      </c>
      <c r="D6" s="9" t="s">
        <v>7</v>
      </c>
      <c r="E6" s="9" t="s">
        <v>9</v>
      </c>
      <c r="F6" s="9" t="s">
        <v>2</v>
      </c>
      <c r="G6" s="10" t="s">
        <v>10</v>
      </c>
    </row>
    <row r="7" spans="2:7" ht="4.5" customHeight="1" thickBot="1" x14ac:dyDescent="0.3">
      <c r="B7" s="1"/>
      <c r="C7" s="1"/>
      <c r="D7" s="1"/>
      <c r="E7" s="33"/>
      <c r="F7" s="33"/>
      <c r="G7" s="2"/>
    </row>
    <row r="8" spans="2:7" s="13" customFormat="1" ht="24.95" customHeight="1" thickTop="1" x14ac:dyDescent="0.25">
      <c r="B8" s="211" t="s">
        <v>39</v>
      </c>
      <c r="C8" s="214" t="s">
        <v>40</v>
      </c>
      <c r="D8" s="216">
        <v>23120</v>
      </c>
      <c r="E8" s="26" t="s">
        <v>56</v>
      </c>
      <c r="F8" s="27">
        <v>8.4</v>
      </c>
      <c r="G8" s="208">
        <f>F8+F9+F10+F11</f>
        <v>80.5</v>
      </c>
    </row>
    <row r="9" spans="2:7" s="13" customFormat="1" ht="24.95" customHeight="1" x14ac:dyDescent="0.25">
      <c r="B9" s="212"/>
      <c r="C9" s="215"/>
      <c r="D9" s="217"/>
      <c r="E9" s="29" t="s">
        <v>57</v>
      </c>
      <c r="F9" s="62">
        <v>5.9</v>
      </c>
      <c r="G9" s="209"/>
    </row>
    <row r="10" spans="2:7" s="13" customFormat="1" ht="24.95" customHeight="1" x14ac:dyDescent="0.25">
      <c r="B10" s="212"/>
      <c r="C10" s="37" t="s">
        <v>41</v>
      </c>
      <c r="D10" s="25">
        <v>23020</v>
      </c>
      <c r="E10" s="24" t="s">
        <v>57</v>
      </c>
      <c r="F10" s="30">
        <v>37.1</v>
      </c>
      <c r="G10" s="209"/>
    </row>
    <row r="11" spans="2:7" s="13" customFormat="1" ht="24.95" customHeight="1" thickBot="1" x14ac:dyDescent="0.3">
      <c r="B11" s="213"/>
      <c r="C11" s="32" t="s">
        <v>42</v>
      </c>
      <c r="D11" s="31">
        <v>22000</v>
      </c>
      <c r="E11" s="14"/>
      <c r="F11" s="28">
        <v>29.1</v>
      </c>
      <c r="G11" s="210"/>
    </row>
    <row r="12" spans="2:7" s="13" customFormat="1" ht="12" customHeight="1" thickTop="1" thickBot="1" x14ac:dyDescent="0.3">
      <c r="B12" s="20"/>
      <c r="C12" s="21"/>
      <c r="D12" s="22"/>
      <c r="E12" s="22"/>
      <c r="F12" s="22"/>
      <c r="G12" s="23"/>
    </row>
    <row r="13" spans="2:7" s="12" customFormat="1" ht="32.25" customHeight="1" thickBot="1" x14ac:dyDescent="0.3">
      <c r="B13" s="205" t="s">
        <v>6</v>
      </c>
      <c r="C13" s="206"/>
      <c r="D13" s="206"/>
      <c r="E13" s="206"/>
      <c r="F13" s="207"/>
      <c r="G13" s="19">
        <f>SUM(G7:G12)</f>
        <v>80.5</v>
      </c>
    </row>
  </sheetData>
  <mergeCells count="5">
    <mergeCell ref="C8:C9"/>
    <mergeCell ref="D8:D9"/>
    <mergeCell ref="B13:F13"/>
    <mergeCell ref="B8:B11"/>
    <mergeCell ref="G8:G1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61"/>
  <sheetViews>
    <sheetView showGridLines="0" tabSelected="1" zoomScaleNormal="100" workbookViewId="0">
      <selection activeCell="C9" sqref="C9"/>
    </sheetView>
  </sheetViews>
  <sheetFormatPr baseColWidth="10" defaultRowHeight="15.75" x14ac:dyDescent="0.25"/>
  <cols>
    <col min="1" max="1" width="11.42578125" style="80"/>
    <col min="2" max="2" width="8" customWidth="1"/>
    <col min="3" max="3" width="25.140625" customWidth="1"/>
    <col min="4" max="4" width="68.140625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6" customFormat="1" ht="29.25" customHeight="1" thickBot="1" x14ac:dyDescent="0.3">
      <c r="A6" s="81"/>
      <c r="C6" s="3" t="s">
        <v>26</v>
      </c>
      <c r="D6" s="4"/>
      <c r="E6" s="4"/>
      <c r="F6" s="4" t="s">
        <v>16</v>
      </c>
      <c r="G6" s="4"/>
      <c r="H6" s="5">
        <v>43585</v>
      </c>
    </row>
    <row r="8" spans="1:8" ht="16.5" thickBot="1" x14ac:dyDescent="0.3"/>
    <row r="9" spans="1:8" s="11" customFormat="1" ht="22.5" customHeight="1" thickBot="1" x14ac:dyDescent="0.3">
      <c r="A9" s="82"/>
      <c r="C9" s="7" t="s">
        <v>0</v>
      </c>
      <c r="D9" s="8" t="s">
        <v>1</v>
      </c>
      <c r="E9" s="9" t="s">
        <v>7</v>
      </c>
      <c r="F9" s="9" t="s">
        <v>9</v>
      </c>
      <c r="G9" s="9" t="s">
        <v>2</v>
      </c>
      <c r="H9" s="10" t="s">
        <v>10</v>
      </c>
    </row>
    <row r="10" spans="1:8" ht="4.5" customHeight="1" thickBot="1" x14ac:dyDescent="0.3">
      <c r="C10" s="59"/>
      <c r="D10" s="59"/>
      <c r="E10" s="59"/>
      <c r="F10" s="59"/>
      <c r="G10" s="59"/>
      <c r="H10" s="60"/>
    </row>
    <row r="11" spans="1:8" s="13" customFormat="1" ht="24.95" customHeight="1" x14ac:dyDescent="0.25">
      <c r="A11" s="83" t="s">
        <v>66</v>
      </c>
      <c r="C11" s="257" t="s">
        <v>154</v>
      </c>
      <c r="D11" s="198" t="s">
        <v>32</v>
      </c>
      <c r="E11" s="188">
        <v>23120</v>
      </c>
      <c r="F11" s="188" t="s">
        <v>12</v>
      </c>
      <c r="G11" s="188">
        <v>8.0399999999999991</v>
      </c>
      <c r="H11" s="190">
        <f>G11</f>
        <v>8.0399999999999991</v>
      </c>
    </row>
    <row r="12" spans="1:8" s="13" customFormat="1" ht="24.95" customHeight="1" x14ac:dyDescent="0.25">
      <c r="A12" s="84" t="s">
        <v>67</v>
      </c>
      <c r="C12" s="258"/>
      <c r="D12" s="199"/>
      <c r="E12" s="189"/>
      <c r="F12" s="189"/>
      <c r="G12" s="189"/>
      <c r="H12" s="191"/>
    </row>
    <row r="13" spans="1:8" s="13" customFormat="1" ht="24.95" customHeight="1" x14ac:dyDescent="0.25">
      <c r="A13" s="83"/>
      <c r="C13" s="258"/>
      <c r="D13" s="199"/>
      <c r="E13" s="43">
        <v>23120</v>
      </c>
      <c r="F13" s="197" t="s">
        <v>14</v>
      </c>
      <c r="G13" s="44">
        <v>7.22</v>
      </c>
      <c r="H13" s="192">
        <f>G13+G14</f>
        <v>18.22</v>
      </c>
    </row>
    <row r="14" spans="1:8" s="13" customFormat="1" ht="24.95" customHeight="1" thickBot="1" x14ac:dyDescent="0.3">
      <c r="A14" s="83"/>
      <c r="C14" s="259"/>
      <c r="D14" s="200"/>
      <c r="E14" s="64">
        <v>23020</v>
      </c>
      <c r="F14" s="181"/>
      <c r="G14" s="46">
        <v>11</v>
      </c>
      <c r="H14" s="193"/>
    </row>
    <row r="15" spans="1:8" s="13" customFormat="1" ht="29.25" customHeight="1" thickTop="1" x14ac:dyDescent="0.25">
      <c r="A15" s="83"/>
      <c r="C15" s="260" t="s">
        <v>155</v>
      </c>
      <c r="D15" s="184" t="s">
        <v>27</v>
      </c>
      <c r="E15" s="186">
        <v>23120</v>
      </c>
      <c r="F15" s="40" t="s">
        <v>29</v>
      </c>
      <c r="G15" s="47">
        <v>15.49</v>
      </c>
      <c r="H15" s="178">
        <f>SUM(G15:G16)</f>
        <v>16.440000000000001</v>
      </c>
    </row>
    <row r="16" spans="1:8" s="13" customFormat="1" ht="24.95" customHeight="1" thickBot="1" x14ac:dyDescent="0.3">
      <c r="A16" s="83"/>
      <c r="C16" s="261"/>
      <c r="D16" s="185"/>
      <c r="E16" s="187"/>
      <c r="F16" s="41" t="s">
        <v>30</v>
      </c>
      <c r="G16" s="42">
        <v>0.95</v>
      </c>
      <c r="H16" s="168"/>
    </row>
    <row r="17" spans="1:8" s="13" customFormat="1" ht="24.95" customHeight="1" thickTop="1" x14ac:dyDescent="0.25">
      <c r="A17" s="83"/>
      <c r="C17" s="262" t="s">
        <v>156</v>
      </c>
      <c r="D17" s="172" t="s">
        <v>35</v>
      </c>
      <c r="E17" s="175">
        <v>23120</v>
      </c>
      <c r="F17" s="180" t="s">
        <v>55</v>
      </c>
      <c r="G17" s="182">
        <f>49.02+15</f>
        <v>64.02000000000001</v>
      </c>
      <c r="H17" s="178">
        <f>G17+G18</f>
        <v>64.02000000000001</v>
      </c>
    </row>
    <row r="18" spans="1:8" s="13" customFormat="1" ht="24.95" customHeight="1" thickBot="1" x14ac:dyDescent="0.3">
      <c r="A18" s="83"/>
      <c r="C18" s="261"/>
      <c r="D18" s="185"/>
      <c r="E18" s="187"/>
      <c r="F18" s="181"/>
      <c r="G18" s="181"/>
      <c r="H18" s="168"/>
    </row>
    <row r="19" spans="1:8" s="13" customFormat="1" ht="24.95" customHeight="1" thickTop="1" x14ac:dyDescent="0.25">
      <c r="A19" s="83"/>
      <c r="C19" s="260" t="s">
        <v>157</v>
      </c>
      <c r="D19" s="184" t="s">
        <v>35</v>
      </c>
      <c r="E19" s="186">
        <v>23120</v>
      </c>
      <c r="F19" s="44" t="s">
        <v>12</v>
      </c>
      <c r="G19" s="61">
        <v>5.3</v>
      </c>
      <c r="H19" s="167">
        <f>SUM(G19:G20)</f>
        <v>39.449999999999996</v>
      </c>
    </row>
    <row r="20" spans="1:8" s="13" customFormat="1" ht="24.95" customHeight="1" thickBot="1" x14ac:dyDescent="0.3">
      <c r="A20" s="83"/>
      <c r="C20" s="261"/>
      <c r="D20" s="185"/>
      <c r="E20" s="187"/>
      <c r="F20" s="41" t="s">
        <v>15</v>
      </c>
      <c r="G20" s="42">
        <f>22.8+1.7+2+6.65+1</f>
        <v>34.15</v>
      </c>
      <c r="H20" s="168"/>
    </row>
    <row r="21" spans="1:8" s="13" customFormat="1" ht="24.95" customHeight="1" thickTop="1" x14ac:dyDescent="0.25">
      <c r="A21" s="83"/>
      <c r="C21" s="260" t="s">
        <v>158</v>
      </c>
      <c r="D21" s="184" t="s">
        <v>28</v>
      </c>
      <c r="E21" s="186">
        <v>23120</v>
      </c>
      <c r="F21" s="44" t="s">
        <v>31</v>
      </c>
      <c r="G21" s="46">
        <f>9.7+5.7</f>
        <v>15.399999999999999</v>
      </c>
      <c r="H21" s="167">
        <f>G21+G22</f>
        <v>59.98</v>
      </c>
    </row>
    <row r="22" spans="1:8" s="13" customFormat="1" ht="24.95" customHeight="1" thickBot="1" x14ac:dyDescent="0.3">
      <c r="A22" s="83"/>
      <c r="C22" s="261"/>
      <c r="D22" s="185"/>
      <c r="E22" s="187"/>
      <c r="F22" s="41" t="s">
        <v>12</v>
      </c>
      <c r="G22" s="42">
        <f>37.78+4.65+2.15</f>
        <v>44.58</v>
      </c>
      <c r="H22" s="168"/>
    </row>
    <row r="23" spans="1:8" s="13" customFormat="1" ht="24.95" customHeight="1" thickTop="1" x14ac:dyDescent="0.25">
      <c r="A23" s="83"/>
      <c r="C23" s="262" t="s">
        <v>159</v>
      </c>
      <c r="D23" s="172" t="s">
        <v>52</v>
      </c>
      <c r="E23" s="175">
        <v>23120</v>
      </c>
      <c r="F23" s="44" t="s">
        <v>19</v>
      </c>
      <c r="G23" s="61">
        <v>6.6</v>
      </c>
      <c r="H23" s="178">
        <f>SUM(G23:G25)</f>
        <v>26.999999999999996</v>
      </c>
    </row>
    <row r="24" spans="1:8" s="13" customFormat="1" ht="24.95" customHeight="1" x14ac:dyDescent="0.25">
      <c r="A24" s="83"/>
      <c r="C24" s="260"/>
      <c r="D24" s="233"/>
      <c r="E24" s="235"/>
      <c r="F24" s="44" t="s">
        <v>53</v>
      </c>
      <c r="G24" s="61">
        <v>10.199999999999999</v>
      </c>
      <c r="H24" s="167"/>
    </row>
    <row r="25" spans="1:8" s="13" customFormat="1" ht="24.95" customHeight="1" thickBot="1" x14ac:dyDescent="0.3">
      <c r="A25" s="83"/>
      <c r="C25" s="263"/>
      <c r="D25" s="234"/>
      <c r="E25" s="236"/>
      <c r="F25" s="48" t="s">
        <v>63</v>
      </c>
      <c r="G25" s="49">
        <v>10.199999999999999</v>
      </c>
      <c r="H25" s="179"/>
    </row>
    <row r="26" spans="1:8" s="13" customFormat="1" ht="24.95" customHeight="1" thickTop="1" x14ac:dyDescent="0.25">
      <c r="A26" s="83"/>
      <c r="C26" s="262" t="s">
        <v>160</v>
      </c>
      <c r="D26" s="63" t="s">
        <v>43</v>
      </c>
      <c r="E26" s="40">
        <v>23120</v>
      </c>
      <c r="F26" s="65" t="s">
        <v>20</v>
      </c>
      <c r="G26" s="47">
        <f>31.9+9+9+25</f>
        <v>74.900000000000006</v>
      </c>
      <c r="H26" s="208">
        <f>G26+G27</f>
        <v>130.80000000000001</v>
      </c>
    </row>
    <row r="27" spans="1:8" s="13" customFormat="1" ht="24.95" customHeight="1" thickBot="1" x14ac:dyDescent="0.3">
      <c r="A27" s="83"/>
      <c r="C27" s="261"/>
      <c r="D27" s="67" t="s">
        <v>38</v>
      </c>
      <c r="E27" s="64">
        <v>23020</v>
      </c>
      <c r="F27" s="41" t="s">
        <v>20</v>
      </c>
      <c r="G27" s="42">
        <f>3.3+10+30.3+12.3</f>
        <v>55.900000000000006</v>
      </c>
      <c r="H27" s="210"/>
    </row>
    <row r="28" spans="1:8" s="13" customFormat="1" ht="24.95" customHeight="1" thickTop="1" x14ac:dyDescent="0.25">
      <c r="A28" s="83"/>
      <c r="C28" s="262" t="s">
        <v>161</v>
      </c>
      <c r="D28" s="63" t="s">
        <v>37</v>
      </c>
      <c r="E28" s="40">
        <v>23120</v>
      </c>
      <c r="F28" s="26" t="s">
        <v>20</v>
      </c>
      <c r="G28" s="47">
        <v>9.89</v>
      </c>
      <c r="H28" s="208">
        <f>G28+G29</f>
        <v>47.1</v>
      </c>
    </row>
    <row r="29" spans="1:8" s="13" customFormat="1" ht="24.95" customHeight="1" thickBot="1" x14ac:dyDescent="0.3">
      <c r="A29" s="83"/>
      <c r="C29" s="261"/>
      <c r="D29" s="67" t="s">
        <v>38</v>
      </c>
      <c r="E29" s="64">
        <v>23020</v>
      </c>
      <c r="F29" s="14" t="s">
        <v>20</v>
      </c>
      <c r="G29" s="42">
        <f>8.02+16.98+12.21</f>
        <v>37.21</v>
      </c>
      <c r="H29" s="210"/>
    </row>
    <row r="30" spans="1:8" s="13" customFormat="1" ht="24.95" customHeight="1" thickTop="1" x14ac:dyDescent="0.25">
      <c r="A30" s="83"/>
      <c r="C30" s="262" t="s">
        <v>162</v>
      </c>
      <c r="D30" s="172" t="s">
        <v>28</v>
      </c>
      <c r="E30" s="175">
        <v>23120</v>
      </c>
      <c r="F30" s="40">
        <v>19017</v>
      </c>
      <c r="G30" s="65">
        <v>40.380000000000003</v>
      </c>
      <c r="H30" s="178">
        <f>G30+G31</f>
        <v>128.18</v>
      </c>
    </row>
    <row r="31" spans="1:8" s="13" customFormat="1" ht="24.95" customHeight="1" thickBot="1" x14ac:dyDescent="0.3">
      <c r="A31" s="83"/>
      <c r="C31" s="264"/>
      <c r="D31" s="202"/>
      <c r="E31" s="203"/>
      <c r="F31" s="66" t="s">
        <v>12</v>
      </c>
      <c r="G31" s="66">
        <v>87.8</v>
      </c>
      <c r="H31" s="204"/>
    </row>
    <row r="32" spans="1:8" s="13" customFormat="1" ht="24.95" customHeight="1" thickTop="1" x14ac:dyDescent="0.25">
      <c r="A32" s="83"/>
      <c r="C32" s="262" t="s">
        <v>163</v>
      </c>
      <c r="D32" s="172" t="s">
        <v>28</v>
      </c>
      <c r="E32" s="175">
        <v>23120</v>
      </c>
      <c r="F32" s="40" t="s">
        <v>33</v>
      </c>
      <c r="G32" s="40">
        <f>6.46+8.25</f>
        <v>14.71</v>
      </c>
      <c r="H32" s="178">
        <f>G32+G33+G34</f>
        <v>55.070000000000007</v>
      </c>
    </row>
    <row r="33" spans="1:8" s="13" customFormat="1" ht="24.95" customHeight="1" x14ac:dyDescent="0.25">
      <c r="A33" s="83"/>
      <c r="C33" s="260"/>
      <c r="D33" s="184"/>
      <c r="E33" s="186"/>
      <c r="F33" s="50" t="s">
        <v>12</v>
      </c>
      <c r="G33" s="51">
        <f>19.76+10.4</f>
        <v>30.160000000000004</v>
      </c>
      <c r="H33" s="167"/>
    </row>
    <row r="34" spans="1:8" s="13" customFormat="1" ht="24.95" customHeight="1" thickBot="1" x14ac:dyDescent="0.3">
      <c r="A34" s="83"/>
      <c r="C34" s="260"/>
      <c r="D34" s="184"/>
      <c r="E34" s="186"/>
      <c r="F34" s="50" t="s">
        <v>34</v>
      </c>
      <c r="G34" s="51">
        <v>10.199999999999999</v>
      </c>
      <c r="H34" s="167"/>
    </row>
    <row r="35" spans="1:8" s="13" customFormat="1" ht="24.95" customHeight="1" thickTop="1" x14ac:dyDescent="0.25">
      <c r="A35" s="83"/>
      <c r="C35" s="265" t="s">
        <v>164</v>
      </c>
      <c r="D35" s="35" t="s">
        <v>43</v>
      </c>
      <c r="E35" s="15">
        <v>23120</v>
      </c>
      <c r="F35" s="26" t="s">
        <v>20</v>
      </c>
      <c r="G35" s="26">
        <f>6+47+5+6+4.6</f>
        <v>68.599999999999994</v>
      </c>
      <c r="H35" s="208">
        <f>G35+G36</f>
        <v>100.85</v>
      </c>
    </row>
    <row r="36" spans="1:8" s="13" customFormat="1" ht="24.95" customHeight="1" thickBot="1" x14ac:dyDescent="0.3">
      <c r="A36" s="83"/>
      <c r="C36" s="266"/>
      <c r="D36" s="32" t="s">
        <v>38</v>
      </c>
      <c r="E36" s="36">
        <v>23020</v>
      </c>
      <c r="F36" s="14" t="s">
        <v>20</v>
      </c>
      <c r="G36" s="14">
        <f>7.55+14+10.7</f>
        <v>32.25</v>
      </c>
      <c r="H36" s="210"/>
    </row>
    <row r="37" spans="1:8" s="13" customFormat="1" ht="12" customHeight="1" thickTop="1" thickBot="1" x14ac:dyDescent="0.3">
      <c r="A37" s="83"/>
      <c r="C37" s="20"/>
      <c r="D37" s="21"/>
      <c r="E37" s="22"/>
      <c r="F37" s="22"/>
      <c r="G37" s="22"/>
      <c r="H37" s="23"/>
    </row>
    <row r="38" spans="1:8" s="12" customFormat="1" ht="35.25" customHeight="1" thickBot="1" x14ac:dyDescent="0.3">
      <c r="A38" s="81"/>
      <c r="C38" s="230" t="s">
        <v>47</v>
      </c>
      <c r="D38" s="231"/>
      <c r="E38" s="231"/>
      <c r="F38" s="231"/>
      <c r="G38" s="232"/>
      <c r="H38" s="73">
        <f>SUM(H10:H37)</f>
        <v>695.15000000000009</v>
      </c>
    </row>
    <row r="40" spans="1:8" ht="16.5" thickBot="1" x14ac:dyDescent="0.3"/>
    <row r="41" spans="1:8" s="13" customFormat="1" ht="24.95" customHeight="1" thickBot="1" x14ac:dyDescent="0.3">
      <c r="A41" s="83" t="s">
        <v>68</v>
      </c>
      <c r="C41" s="267" t="s">
        <v>165</v>
      </c>
      <c r="D41" s="75" t="s">
        <v>36</v>
      </c>
      <c r="E41" s="76">
        <v>23120</v>
      </c>
      <c r="F41" s="76" t="s">
        <v>65</v>
      </c>
      <c r="G41" s="76">
        <v>16.2</v>
      </c>
      <c r="H41" s="77">
        <f>G41</f>
        <v>16.2</v>
      </c>
    </row>
    <row r="42" spans="1:8" s="13" customFormat="1" ht="24.95" customHeight="1" thickTop="1" thickBot="1" x14ac:dyDescent="0.3">
      <c r="A42" s="83" t="s">
        <v>17</v>
      </c>
      <c r="C42" s="268" t="s">
        <v>166</v>
      </c>
      <c r="D42" s="68" t="s">
        <v>36</v>
      </c>
      <c r="E42" s="69">
        <v>23120</v>
      </c>
      <c r="F42" s="70" t="s">
        <v>12</v>
      </c>
      <c r="G42" s="71">
        <v>34.9</v>
      </c>
      <c r="H42" s="72">
        <f>G42</f>
        <v>34.9</v>
      </c>
    </row>
    <row r="43" spans="1:8" s="13" customFormat="1" ht="24.95" customHeight="1" thickTop="1" x14ac:dyDescent="0.25">
      <c r="A43" s="83"/>
      <c r="C43" s="260" t="s">
        <v>167</v>
      </c>
      <c r="D43" s="184" t="s">
        <v>62</v>
      </c>
      <c r="E43" s="186">
        <v>23120</v>
      </c>
      <c r="F43" s="44" t="s">
        <v>60</v>
      </c>
      <c r="G43" s="46">
        <v>14.85</v>
      </c>
      <c r="H43" s="167">
        <f>G43+G44</f>
        <v>23.799999999999997</v>
      </c>
    </row>
    <row r="44" spans="1:8" s="13" customFormat="1" ht="24.95" customHeight="1" thickBot="1" x14ac:dyDescent="0.3">
      <c r="A44" s="83"/>
      <c r="C44" s="261"/>
      <c r="D44" s="185"/>
      <c r="E44" s="187"/>
      <c r="F44" s="41" t="s">
        <v>61</v>
      </c>
      <c r="G44" s="42">
        <v>8.9499999999999993</v>
      </c>
      <c r="H44" s="168"/>
    </row>
    <row r="45" spans="1:8" s="13" customFormat="1" ht="24.95" customHeight="1" thickTop="1" x14ac:dyDescent="0.25">
      <c r="A45" s="83"/>
      <c r="C45" s="265" t="s">
        <v>168</v>
      </c>
      <c r="D45" s="57" t="s">
        <v>36</v>
      </c>
      <c r="E45" s="26">
        <v>23120</v>
      </c>
      <c r="F45" s="15" t="s">
        <v>64</v>
      </c>
      <c r="G45" s="27">
        <f>5+11.9+4.95+17.5+14.5+15.05+13.05+6.8+5.9+11.15+9.45+7.25</f>
        <v>122.5</v>
      </c>
      <c r="H45" s="208">
        <f>SUM(G45:G47)</f>
        <v>156.6</v>
      </c>
    </row>
    <row r="46" spans="1:8" s="13" customFormat="1" ht="24.95" customHeight="1" x14ac:dyDescent="0.25">
      <c r="A46" s="83"/>
      <c r="C46" s="269"/>
      <c r="D46" s="39" t="s">
        <v>45</v>
      </c>
      <c r="E46" s="38">
        <v>23020</v>
      </c>
      <c r="F46" s="24" t="s">
        <v>64</v>
      </c>
      <c r="G46" s="30">
        <f>18.5+11.1</f>
        <v>29.6</v>
      </c>
      <c r="H46" s="209"/>
    </row>
    <row r="47" spans="1:8" s="13" customFormat="1" ht="24.95" customHeight="1" thickBot="1" x14ac:dyDescent="0.3">
      <c r="A47" s="83"/>
      <c r="C47" s="266"/>
      <c r="D47" s="32" t="s">
        <v>46</v>
      </c>
      <c r="E47" s="36">
        <v>22699</v>
      </c>
      <c r="F47" s="14" t="s">
        <v>64</v>
      </c>
      <c r="G47" s="28">
        <v>4.5</v>
      </c>
      <c r="H47" s="210"/>
    </row>
    <row r="48" spans="1:8" s="13" customFormat="1" ht="12" customHeight="1" thickTop="1" thickBot="1" x14ac:dyDescent="0.3">
      <c r="A48" s="83"/>
      <c r="C48" s="20"/>
      <c r="D48" s="21"/>
      <c r="E48" s="22"/>
      <c r="F48" s="22"/>
      <c r="G48" s="22"/>
      <c r="H48" s="23"/>
    </row>
    <row r="49" spans="1:8" s="12" customFormat="1" ht="32.25" customHeight="1" thickBot="1" x14ac:dyDescent="0.3">
      <c r="A49" s="81"/>
      <c r="C49" s="205" t="s">
        <v>6</v>
      </c>
      <c r="D49" s="206"/>
      <c r="E49" s="206"/>
      <c r="F49" s="206"/>
      <c r="G49" s="207"/>
      <c r="H49" s="73">
        <f>SUM(H40:H48)</f>
        <v>231.5</v>
      </c>
    </row>
    <row r="51" spans="1:8" ht="16.5" thickBot="1" x14ac:dyDescent="0.3"/>
    <row r="52" spans="1:8" s="13" customFormat="1" ht="24.95" customHeight="1" x14ac:dyDescent="0.25">
      <c r="A52" s="83" t="s">
        <v>69</v>
      </c>
      <c r="C52" s="270" t="s">
        <v>169</v>
      </c>
      <c r="D52" s="227" t="s">
        <v>40</v>
      </c>
      <c r="E52" s="228">
        <v>23120</v>
      </c>
      <c r="F52" s="78" t="s">
        <v>56</v>
      </c>
      <c r="G52" s="79">
        <v>8.4</v>
      </c>
      <c r="H52" s="229">
        <f>G52+G53+G54+G55</f>
        <v>80.5</v>
      </c>
    </row>
    <row r="53" spans="1:8" s="13" customFormat="1" ht="24.95" customHeight="1" x14ac:dyDescent="0.25">
      <c r="A53" s="83" t="s">
        <v>25</v>
      </c>
      <c r="C53" s="269"/>
      <c r="D53" s="215"/>
      <c r="E53" s="217"/>
      <c r="F53" s="29" t="s">
        <v>57</v>
      </c>
      <c r="G53" s="62">
        <v>5.9</v>
      </c>
      <c r="H53" s="209"/>
    </row>
    <row r="54" spans="1:8" s="13" customFormat="1" ht="24.95" customHeight="1" x14ac:dyDescent="0.25">
      <c r="A54" s="83"/>
      <c r="C54" s="269"/>
      <c r="D54" s="37" t="s">
        <v>41</v>
      </c>
      <c r="E54" s="25">
        <v>23020</v>
      </c>
      <c r="F54" s="24" t="s">
        <v>57</v>
      </c>
      <c r="G54" s="30">
        <v>37.1</v>
      </c>
      <c r="H54" s="209"/>
    </row>
    <row r="55" spans="1:8" s="13" customFormat="1" ht="24.95" customHeight="1" thickBot="1" x14ac:dyDescent="0.3">
      <c r="A55" s="83"/>
      <c r="C55" s="266"/>
      <c r="D55" s="32" t="s">
        <v>42</v>
      </c>
      <c r="E55" s="36">
        <v>22000</v>
      </c>
      <c r="F55" s="24" t="s">
        <v>57</v>
      </c>
      <c r="G55" s="28">
        <v>29.1</v>
      </c>
      <c r="H55" s="210"/>
    </row>
    <row r="56" spans="1:8" s="13" customFormat="1" ht="12" customHeight="1" thickTop="1" thickBot="1" x14ac:dyDescent="0.3">
      <c r="A56" s="83"/>
      <c r="C56" s="20"/>
      <c r="D56" s="21"/>
      <c r="E56" s="22"/>
      <c r="F56" s="22"/>
      <c r="G56" s="22"/>
      <c r="H56" s="23"/>
    </row>
    <row r="57" spans="1:8" s="12" customFormat="1" ht="32.25" customHeight="1" thickBot="1" x14ac:dyDescent="0.3">
      <c r="A57" s="81"/>
      <c r="C57" s="205" t="s">
        <v>6</v>
      </c>
      <c r="D57" s="206"/>
      <c r="E57" s="206"/>
      <c r="F57" s="206"/>
      <c r="G57" s="207"/>
      <c r="H57" s="73">
        <f>SUM(H51:H56)</f>
        <v>80.5</v>
      </c>
    </row>
    <row r="59" spans="1:8" ht="16.5" thickBot="1" x14ac:dyDescent="0.3"/>
    <row r="60" spans="1:8" s="74" customFormat="1" ht="26.25" x14ac:dyDescent="0.4">
      <c r="A60" s="80"/>
      <c r="C60" s="218" t="s">
        <v>58</v>
      </c>
      <c r="D60" s="219"/>
      <c r="E60" s="219"/>
      <c r="F60" s="219"/>
      <c r="G60" s="220"/>
      <c r="H60" s="224">
        <f>H38+H49+H57</f>
        <v>1007.1500000000001</v>
      </c>
    </row>
    <row r="61" spans="1:8" s="74" customFormat="1" ht="27" thickBot="1" x14ac:dyDescent="0.45">
      <c r="A61" s="80"/>
      <c r="C61" s="221"/>
      <c r="D61" s="222"/>
      <c r="E61" s="222"/>
      <c r="F61" s="222"/>
      <c r="G61" s="223"/>
      <c r="H61" s="225"/>
    </row>
  </sheetData>
  <mergeCells count="59">
    <mergeCell ref="H11:H12"/>
    <mergeCell ref="F13:F14"/>
    <mergeCell ref="H13:H14"/>
    <mergeCell ref="C11:C14"/>
    <mergeCell ref="D11:D14"/>
    <mergeCell ref="E11:E12"/>
    <mergeCell ref="F11:F12"/>
    <mergeCell ref="G11:G12"/>
    <mergeCell ref="C15:C16"/>
    <mergeCell ref="D15:D16"/>
    <mergeCell ref="E15:E16"/>
    <mergeCell ref="H15:H16"/>
    <mergeCell ref="C17:C18"/>
    <mergeCell ref="D17:D18"/>
    <mergeCell ref="E17:E18"/>
    <mergeCell ref="F17:F18"/>
    <mergeCell ref="G17:G18"/>
    <mergeCell ref="H17:H18"/>
    <mergeCell ref="C19:C20"/>
    <mergeCell ref="D19:D20"/>
    <mergeCell ref="E19:E20"/>
    <mergeCell ref="H19:H20"/>
    <mergeCell ref="C21:C22"/>
    <mergeCell ref="D21:D22"/>
    <mergeCell ref="E21:E22"/>
    <mergeCell ref="H21:H22"/>
    <mergeCell ref="C23:C25"/>
    <mergeCell ref="D23:D25"/>
    <mergeCell ref="E23:E25"/>
    <mergeCell ref="H23:H25"/>
    <mergeCell ref="C30:C31"/>
    <mergeCell ref="D30:D31"/>
    <mergeCell ref="E30:E31"/>
    <mergeCell ref="H30:H31"/>
    <mergeCell ref="C28:C29"/>
    <mergeCell ref="H28:H29"/>
    <mergeCell ref="C26:C27"/>
    <mergeCell ref="H26:H27"/>
    <mergeCell ref="C32:C34"/>
    <mergeCell ref="D32:D34"/>
    <mergeCell ref="E32:E34"/>
    <mergeCell ref="H32:H34"/>
    <mergeCell ref="C57:G57"/>
    <mergeCell ref="C38:G38"/>
    <mergeCell ref="C43:C44"/>
    <mergeCell ref="D43:D44"/>
    <mergeCell ref="E43:E44"/>
    <mergeCell ref="H43:H44"/>
    <mergeCell ref="C35:C36"/>
    <mergeCell ref="H35:H36"/>
    <mergeCell ref="C60:G61"/>
    <mergeCell ref="H60:H61"/>
    <mergeCell ref="C45:C47"/>
    <mergeCell ref="H45:H47"/>
    <mergeCell ref="C49:G49"/>
    <mergeCell ref="C52:C55"/>
    <mergeCell ref="D52:D53"/>
    <mergeCell ref="E52:E53"/>
    <mergeCell ref="H52:H55"/>
  </mergeCells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68"/>
  <sheetViews>
    <sheetView showGridLines="0" workbookViewId="0">
      <selection activeCell="C9" sqref="C9"/>
    </sheetView>
  </sheetViews>
  <sheetFormatPr baseColWidth="10" defaultRowHeight="15.75" x14ac:dyDescent="0.25"/>
  <cols>
    <col min="1" max="1" width="11.42578125" style="80"/>
    <col min="2" max="2" width="2.42578125" customWidth="1"/>
    <col min="3" max="3" width="25.140625" customWidth="1"/>
    <col min="4" max="4" width="49.85546875" style="116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6" customFormat="1" ht="29.25" customHeight="1" thickBot="1" x14ac:dyDescent="0.3">
      <c r="A6" s="81"/>
      <c r="C6" s="3" t="s">
        <v>70</v>
      </c>
      <c r="D6" s="117"/>
      <c r="E6" s="4"/>
      <c r="F6" s="4" t="s">
        <v>16</v>
      </c>
      <c r="G6" s="4"/>
      <c r="H6" s="5">
        <v>43663</v>
      </c>
    </row>
    <row r="8" spans="1:8" ht="16.5" thickBot="1" x14ac:dyDescent="0.3"/>
    <row r="9" spans="1:8" s="11" customFormat="1" ht="22.5" customHeight="1" thickBot="1" x14ac:dyDescent="0.3">
      <c r="A9" s="82"/>
      <c r="C9" s="7" t="s">
        <v>0</v>
      </c>
      <c r="D9" s="118" t="s">
        <v>1</v>
      </c>
      <c r="E9" s="9" t="s">
        <v>7</v>
      </c>
      <c r="F9" s="9" t="s">
        <v>9</v>
      </c>
      <c r="G9" s="9" t="s">
        <v>2</v>
      </c>
      <c r="H9" s="10" t="s">
        <v>10</v>
      </c>
    </row>
    <row r="10" spans="1:8" ht="4.5" customHeight="1" thickBot="1" x14ac:dyDescent="0.3">
      <c r="C10" s="59"/>
      <c r="D10" s="119"/>
      <c r="E10" s="59"/>
      <c r="F10" s="59"/>
      <c r="G10" s="59"/>
      <c r="H10" s="96"/>
    </row>
    <row r="11" spans="1:8" s="13" customFormat="1" ht="31.5" customHeight="1" thickBot="1" x14ac:dyDescent="0.3">
      <c r="A11" s="83" t="s">
        <v>105</v>
      </c>
      <c r="C11" s="271" t="s">
        <v>170</v>
      </c>
      <c r="D11" s="97" t="s">
        <v>79</v>
      </c>
      <c r="E11" s="98">
        <v>23120</v>
      </c>
      <c r="F11" s="98" t="s">
        <v>80</v>
      </c>
      <c r="G11" s="98">
        <v>7.98</v>
      </c>
      <c r="H11" s="77">
        <f>G11</f>
        <v>7.98</v>
      </c>
    </row>
    <row r="12" spans="1:8" s="13" customFormat="1" ht="24.95" customHeight="1" thickTop="1" x14ac:dyDescent="0.25">
      <c r="A12" s="13" t="s">
        <v>106</v>
      </c>
      <c r="C12" s="272" t="s">
        <v>154</v>
      </c>
      <c r="D12" s="102" t="s">
        <v>79</v>
      </c>
      <c r="E12" s="40">
        <v>23120</v>
      </c>
      <c r="F12" s="100" t="s">
        <v>81</v>
      </c>
      <c r="G12" s="100">
        <v>10.07</v>
      </c>
      <c r="H12" s="239">
        <f>G13+G12</f>
        <v>24.02</v>
      </c>
    </row>
    <row r="13" spans="1:8" s="13" customFormat="1" ht="24.95" customHeight="1" thickBot="1" x14ac:dyDescent="0.3">
      <c r="A13" s="84" t="s">
        <v>16</v>
      </c>
      <c r="C13" s="273"/>
      <c r="D13" s="120" t="s">
        <v>75</v>
      </c>
      <c r="E13" s="88">
        <v>23020</v>
      </c>
      <c r="F13" s="101" t="s">
        <v>82</v>
      </c>
      <c r="G13" s="41">
        <v>13.95</v>
      </c>
      <c r="H13" s="240"/>
    </row>
    <row r="14" spans="1:8" s="13" customFormat="1" ht="29.25" customHeight="1" thickTop="1" x14ac:dyDescent="0.25">
      <c r="A14" s="83"/>
      <c r="C14" s="260" t="s">
        <v>155</v>
      </c>
      <c r="D14" s="237" t="s">
        <v>91</v>
      </c>
      <c r="E14" s="175">
        <v>23120</v>
      </c>
      <c r="F14" s="40" t="s">
        <v>29</v>
      </c>
      <c r="G14" s="47">
        <v>8.1999999999999993</v>
      </c>
      <c r="H14" s="178">
        <f>SUM(G14:G16)</f>
        <v>30.299999999999997</v>
      </c>
    </row>
    <row r="15" spans="1:8" s="13" customFormat="1" ht="29.25" customHeight="1" x14ac:dyDescent="0.25">
      <c r="A15" s="83"/>
      <c r="C15" s="260"/>
      <c r="D15" s="241"/>
      <c r="E15" s="242"/>
      <c r="F15" s="44" t="s">
        <v>12</v>
      </c>
      <c r="G15" s="61">
        <v>10.199999999999999</v>
      </c>
      <c r="H15" s="167"/>
    </row>
    <row r="16" spans="1:8" s="13" customFormat="1" ht="24.95" customHeight="1" thickBot="1" x14ac:dyDescent="0.3">
      <c r="A16" s="83"/>
      <c r="C16" s="261"/>
      <c r="D16" s="120" t="s">
        <v>75</v>
      </c>
      <c r="E16" s="88">
        <v>23020</v>
      </c>
      <c r="F16" s="41" t="s">
        <v>29</v>
      </c>
      <c r="G16" s="42">
        <v>11.9</v>
      </c>
      <c r="H16" s="168"/>
    </row>
    <row r="17" spans="1:8" s="13" customFormat="1" ht="24.95" customHeight="1" thickTop="1" x14ac:dyDescent="0.25">
      <c r="A17" s="83"/>
      <c r="C17" s="262" t="s">
        <v>156</v>
      </c>
      <c r="D17" s="237" t="s">
        <v>90</v>
      </c>
      <c r="E17" s="175">
        <v>23120</v>
      </c>
      <c r="F17" s="180" t="s">
        <v>86</v>
      </c>
      <c r="G17" s="182">
        <v>24.32</v>
      </c>
      <c r="H17" s="178">
        <f>G17+G18</f>
        <v>24.32</v>
      </c>
    </row>
    <row r="18" spans="1:8" s="13" customFormat="1" ht="24.95" customHeight="1" thickBot="1" x14ac:dyDescent="0.3">
      <c r="A18" s="83"/>
      <c r="C18" s="261"/>
      <c r="D18" s="238"/>
      <c r="E18" s="187"/>
      <c r="F18" s="181"/>
      <c r="G18" s="181"/>
      <c r="H18" s="168"/>
    </row>
    <row r="19" spans="1:8" s="13" customFormat="1" ht="24.95" customHeight="1" thickTop="1" x14ac:dyDescent="0.25">
      <c r="A19" s="84"/>
      <c r="C19" s="272" t="s">
        <v>171</v>
      </c>
      <c r="D19" s="102" t="s">
        <v>79</v>
      </c>
      <c r="E19" s="40">
        <v>23120</v>
      </c>
      <c r="F19" s="100" t="s">
        <v>82</v>
      </c>
      <c r="G19" s="100">
        <v>7.6</v>
      </c>
      <c r="H19" s="239">
        <f>G20+G19</f>
        <v>21.549999999999997</v>
      </c>
    </row>
    <row r="20" spans="1:8" s="13" customFormat="1" ht="24.95" customHeight="1" thickBot="1" x14ac:dyDescent="0.3">
      <c r="A20" s="83"/>
      <c r="C20" s="273"/>
      <c r="D20" s="120" t="s">
        <v>75</v>
      </c>
      <c r="E20" s="92">
        <v>23020</v>
      </c>
      <c r="F20" s="101" t="s">
        <v>82</v>
      </c>
      <c r="G20" s="41">
        <v>13.95</v>
      </c>
      <c r="H20" s="240"/>
    </row>
    <row r="21" spans="1:8" s="13" customFormat="1" ht="35.25" customHeight="1" thickTop="1" thickBot="1" x14ac:dyDescent="0.3">
      <c r="A21" s="83"/>
      <c r="C21" s="274" t="s">
        <v>172</v>
      </c>
      <c r="D21" s="121" t="s">
        <v>103</v>
      </c>
      <c r="E21" s="41">
        <v>22606</v>
      </c>
      <c r="F21" s="92" t="s">
        <v>76</v>
      </c>
      <c r="G21" s="105">
        <v>88.06</v>
      </c>
      <c r="H21" s="94">
        <f>SUM(G21:G21)</f>
        <v>88.06</v>
      </c>
    </row>
    <row r="22" spans="1:8" s="13" customFormat="1" ht="33.75" customHeight="1" thickTop="1" thickBot="1" x14ac:dyDescent="0.3">
      <c r="A22" s="83"/>
      <c r="C22" s="275" t="s">
        <v>158</v>
      </c>
      <c r="D22" s="122" t="s">
        <v>91</v>
      </c>
      <c r="E22" s="86">
        <v>23120</v>
      </c>
      <c r="F22" s="41" t="s">
        <v>92</v>
      </c>
      <c r="G22" s="105">
        <v>10.199999999999999</v>
      </c>
      <c r="H22" s="90">
        <f>G22</f>
        <v>10.199999999999999</v>
      </c>
    </row>
    <row r="23" spans="1:8" s="13" customFormat="1" ht="24.95" customHeight="1" thickTop="1" x14ac:dyDescent="0.25">
      <c r="A23" s="83"/>
      <c r="C23" s="262" t="s">
        <v>159</v>
      </c>
      <c r="D23" s="237" t="s">
        <v>103</v>
      </c>
      <c r="E23" s="65">
        <v>23120</v>
      </c>
      <c r="F23" s="44" t="s">
        <v>30</v>
      </c>
      <c r="G23" s="61">
        <v>12.16</v>
      </c>
      <c r="H23" s="178">
        <f>SUM(G23:G24)</f>
        <v>104.98999999999998</v>
      </c>
    </row>
    <row r="24" spans="1:8" s="13" customFormat="1" ht="24.95" customHeight="1" thickBot="1" x14ac:dyDescent="0.3">
      <c r="A24" s="83"/>
      <c r="C24" s="261"/>
      <c r="D24" s="238"/>
      <c r="E24" s="88">
        <v>22606</v>
      </c>
      <c r="F24" s="44" t="s">
        <v>76</v>
      </c>
      <c r="G24" s="61">
        <f>29.3+35.53+16.93+11.07</f>
        <v>92.829999999999984</v>
      </c>
      <c r="H24" s="168"/>
    </row>
    <row r="25" spans="1:8" s="13" customFormat="1" ht="33.75" customHeight="1" thickTop="1" thickBot="1" x14ac:dyDescent="0.3">
      <c r="A25" s="83"/>
      <c r="C25" s="276" t="s">
        <v>173</v>
      </c>
      <c r="D25" s="99" t="s">
        <v>74</v>
      </c>
      <c r="E25" s="40">
        <v>22606</v>
      </c>
      <c r="F25" s="65" t="s">
        <v>76</v>
      </c>
      <c r="G25" s="47">
        <v>64.8</v>
      </c>
      <c r="H25" s="93">
        <f>G25</f>
        <v>64.8</v>
      </c>
    </row>
    <row r="26" spans="1:8" s="13" customFormat="1" ht="24.95" customHeight="1" thickTop="1" x14ac:dyDescent="0.25">
      <c r="A26" s="83"/>
      <c r="C26" s="262" t="s">
        <v>160</v>
      </c>
      <c r="D26" s="99" t="s">
        <v>74</v>
      </c>
      <c r="E26" s="40">
        <v>23120</v>
      </c>
      <c r="F26" s="65" t="s">
        <v>20</v>
      </c>
      <c r="G26" s="47">
        <f>29.9+2.6+3.25+5+22.25</f>
        <v>63</v>
      </c>
      <c r="H26" s="208">
        <f>G26+G27</f>
        <v>85.5</v>
      </c>
    </row>
    <row r="27" spans="1:8" s="13" customFormat="1" ht="24.95" customHeight="1" thickBot="1" x14ac:dyDescent="0.3">
      <c r="A27" s="83"/>
      <c r="C27" s="261"/>
      <c r="D27" s="120" t="s">
        <v>75</v>
      </c>
      <c r="E27" s="88">
        <v>23020</v>
      </c>
      <c r="F27" s="41" t="s">
        <v>20</v>
      </c>
      <c r="G27" s="42">
        <f>4.2+9.8+8.5</f>
        <v>22.5</v>
      </c>
      <c r="H27" s="210"/>
    </row>
    <row r="28" spans="1:8" s="13" customFormat="1" ht="24.95" customHeight="1" thickTop="1" x14ac:dyDescent="0.25">
      <c r="A28" s="83"/>
      <c r="C28" s="262" t="s">
        <v>174</v>
      </c>
      <c r="D28" s="237" t="s">
        <v>83</v>
      </c>
      <c r="E28" s="175">
        <v>23120</v>
      </c>
      <c r="F28" s="107" t="s">
        <v>85</v>
      </c>
      <c r="G28" s="108">
        <f>17.5</f>
        <v>17.5</v>
      </c>
      <c r="H28" s="208">
        <f>SUM(G28:G35)</f>
        <v>290.38</v>
      </c>
    </row>
    <row r="29" spans="1:8" s="13" customFormat="1" ht="24.95" customHeight="1" x14ac:dyDescent="0.25">
      <c r="A29" s="83"/>
      <c r="C29" s="260"/>
      <c r="D29" s="246"/>
      <c r="E29" s="186"/>
      <c r="F29" s="50" t="s">
        <v>88</v>
      </c>
      <c r="G29" s="106">
        <v>12.16</v>
      </c>
      <c r="H29" s="209"/>
    </row>
    <row r="30" spans="1:8" s="13" customFormat="1" ht="24.95" customHeight="1" x14ac:dyDescent="0.25">
      <c r="A30" s="83"/>
      <c r="C30" s="260"/>
      <c r="D30" s="246"/>
      <c r="E30" s="186"/>
      <c r="F30" s="50" t="s">
        <v>86</v>
      </c>
      <c r="G30" s="106">
        <v>24.32</v>
      </c>
      <c r="H30" s="209"/>
    </row>
    <row r="31" spans="1:8" s="13" customFormat="1" ht="24.95" customHeight="1" x14ac:dyDescent="0.25">
      <c r="A31" s="83"/>
      <c r="C31" s="260"/>
      <c r="D31" s="246"/>
      <c r="E31" s="186"/>
      <c r="F31" s="50" t="s">
        <v>87</v>
      </c>
      <c r="G31" s="106">
        <f>66.88</f>
        <v>66.88</v>
      </c>
      <c r="H31" s="209"/>
    </row>
    <row r="32" spans="1:8" s="13" customFormat="1" ht="24.95" customHeight="1" x14ac:dyDescent="0.25">
      <c r="A32" s="83"/>
      <c r="C32" s="260"/>
      <c r="D32" s="246"/>
      <c r="E32" s="186"/>
      <c r="F32" s="50" t="s">
        <v>84</v>
      </c>
      <c r="G32" s="106">
        <f>8.82+18+28.5</f>
        <v>55.32</v>
      </c>
      <c r="H32" s="209"/>
    </row>
    <row r="33" spans="1:8" s="13" customFormat="1" ht="24.95" customHeight="1" x14ac:dyDescent="0.25">
      <c r="A33" s="83"/>
      <c r="C33" s="260"/>
      <c r="D33" s="246"/>
      <c r="E33" s="242"/>
      <c r="F33" s="44" t="s">
        <v>12</v>
      </c>
      <c r="G33" s="61">
        <f>11.75+6.75</f>
        <v>18.5</v>
      </c>
      <c r="H33" s="209"/>
    </row>
    <row r="34" spans="1:8" s="13" customFormat="1" ht="24.95" customHeight="1" x14ac:dyDescent="0.25">
      <c r="A34" s="83"/>
      <c r="C34" s="260"/>
      <c r="D34" s="246"/>
      <c r="E34" s="186">
        <v>23020</v>
      </c>
      <c r="F34" s="44" t="s">
        <v>85</v>
      </c>
      <c r="G34" s="61">
        <v>76.7</v>
      </c>
      <c r="H34" s="209"/>
    </row>
    <row r="35" spans="1:8" s="13" customFormat="1" ht="24.95" customHeight="1" thickBot="1" x14ac:dyDescent="0.3">
      <c r="A35" s="83"/>
      <c r="C35" s="261"/>
      <c r="D35" s="238"/>
      <c r="E35" s="187"/>
      <c r="F35" s="41" t="s">
        <v>84</v>
      </c>
      <c r="G35" s="42">
        <v>19</v>
      </c>
      <c r="H35" s="210"/>
    </row>
    <row r="36" spans="1:8" s="13" customFormat="1" ht="24.95" customHeight="1" thickTop="1" x14ac:dyDescent="0.25">
      <c r="A36" s="83"/>
      <c r="C36" s="262" t="s">
        <v>175</v>
      </c>
      <c r="D36" s="237" t="s">
        <v>96</v>
      </c>
      <c r="E36" s="175">
        <v>23120</v>
      </c>
      <c r="F36" s="107" t="s">
        <v>93</v>
      </c>
      <c r="G36" s="108">
        <v>2</v>
      </c>
      <c r="H36" s="208">
        <f>SUM(G36:G40)</f>
        <v>183.5</v>
      </c>
    </row>
    <row r="37" spans="1:8" s="13" customFormat="1" ht="24.95" customHeight="1" x14ac:dyDescent="0.25">
      <c r="A37" s="83"/>
      <c r="C37" s="260"/>
      <c r="D37" s="246"/>
      <c r="E37" s="186"/>
      <c r="F37" s="50" t="s">
        <v>94</v>
      </c>
      <c r="G37" s="106">
        <v>8.1999999999999993</v>
      </c>
      <c r="H37" s="209"/>
    </row>
    <row r="38" spans="1:8" s="13" customFormat="1" ht="24.95" customHeight="1" x14ac:dyDescent="0.25">
      <c r="A38" s="83"/>
      <c r="C38" s="260"/>
      <c r="D38" s="246"/>
      <c r="E38" s="186"/>
      <c r="F38" s="48" t="s">
        <v>99</v>
      </c>
      <c r="G38" s="109">
        <v>9.1</v>
      </c>
      <c r="H38" s="209"/>
    </row>
    <row r="39" spans="1:8" s="13" customFormat="1" ht="24.95" customHeight="1" x14ac:dyDescent="0.25">
      <c r="A39" s="83"/>
      <c r="C39" s="260"/>
      <c r="D39" s="123" t="s">
        <v>97</v>
      </c>
      <c r="E39" s="51">
        <v>22606</v>
      </c>
      <c r="F39" s="50" t="s">
        <v>95</v>
      </c>
      <c r="G39" s="106">
        <f>107.2</f>
        <v>107.2</v>
      </c>
      <c r="H39" s="209"/>
    </row>
    <row r="40" spans="1:8" s="13" customFormat="1" ht="24.95" customHeight="1" thickBot="1" x14ac:dyDescent="0.3">
      <c r="A40" s="83"/>
      <c r="C40" s="260"/>
      <c r="D40" s="124" t="s">
        <v>98</v>
      </c>
      <c r="E40" s="86">
        <v>22606</v>
      </c>
      <c r="F40" s="110" t="s">
        <v>95</v>
      </c>
      <c r="G40" s="111">
        <v>57</v>
      </c>
      <c r="H40" s="209"/>
    </row>
    <row r="41" spans="1:8" s="13" customFormat="1" ht="37.5" customHeight="1" thickTop="1" thickBot="1" x14ac:dyDescent="0.3">
      <c r="A41" s="83"/>
      <c r="C41" s="268" t="s">
        <v>161</v>
      </c>
      <c r="D41" s="125" t="s">
        <v>75</v>
      </c>
      <c r="E41" s="69">
        <v>23020</v>
      </c>
      <c r="F41" s="18" t="s">
        <v>20</v>
      </c>
      <c r="G41" s="71">
        <v>15</v>
      </c>
      <c r="H41" s="34">
        <f>G41</f>
        <v>15</v>
      </c>
    </row>
    <row r="42" spans="1:8" s="13" customFormat="1" ht="34.5" customHeight="1" thickTop="1" thickBot="1" x14ac:dyDescent="0.3">
      <c r="A42" s="83"/>
      <c r="C42" s="276" t="s">
        <v>162</v>
      </c>
      <c r="D42" s="99" t="s">
        <v>89</v>
      </c>
      <c r="E42" s="85">
        <v>23120</v>
      </c>
      <c r="F42" s="40" t="s">
        <v>81</v>
      </c>
      <c r="G42" s="65">
        <v>16.72</v>
      </c>
      <c r="H42" s="87">
        <f>G42</f>
        <v>16.72</v>
      </c>
    </row>
    <row r="43" spans="1:8" s="13" customFormat="1" ht="24.95" customHeight="1" thickTop="1" x14ac:dyDescent="0.25">
      <c r="A43" s="83"/>
      <c r="C43" s="262" t="s">
        <v>163</v>
      </c>
      <c r="D43" s="237" t="s">
        <v>74</v>
      </c>
      <c r="E43" s="175">
        <v>23120</v>
      </c>
      <c r="F43" s="40" t="s">
        <v>77</v>
      </c>
      <c r="G43" s="40">
        <f>13.8+12</f>
        <v>25.8</v>
      </c>
      <c r="H43" s="178">
        <f>G43+G44+G45</f>
        <v>48.95</v>
      </c>
    </row>
    <row r="44" spans="1:8" s="13" customFormat="1" ht="24.95" customHeight="1" x14ac:dyDescent="0.25">
      <c r="A44" s="83"/>
      <c r="C44" s="260"/>
      <c r="D44" s="241"/>
      <c r="E44" s="242"/>
      <c r="F44" s="50" t="s">
        <v>78</v>
      </c>
      <c r="G44" s="51">
        <f>9.85</f>
        <v>9.85</v>
      </c>
      <c r="H44" s="167"/>
    </row>
    <row r="45" spans="1:8" s="13" customFormat="1" ht="24.95" customHeight="1" thickBot="1" x14ac:dyDescent="0.3">
      <c r="A45" s="83"/>
      <c r="C45" s="260"/>
      <c r="D45" s="120" t="s">
        <v>75</v>
      </c>
      <c r="E45" s="88">
        <v>23020</v>
      </c>
      <c r="F45" s="50" t="s">
        <v>77</v>
      </c>
      <c r="G45" s="51">
        <v>13.3</v>
      </c>
      <c r="H45" s="167"/>
    </row>
    <row r="46" spans="1:8" s="13" customFormat="1" ht="36.75" customHeight="1" thickTop="1" thickBot="1" x14ac:dyDescent="0.3">
      <c r="A46" s="83"/>
      <c r="C46" s="277" t="s">
        <v>176</v>
      </c>
      <c r="D46" s="126" t="s">
        <v>74</v>
      </c>
      <c r="E46" s="15">
        <v>23120</v>
      </c>
      <c r="F46" s="26" t="s">
        <v>12</v>
      </c>
      <c r="G46" s="27">
        <v>20.100000000000001</v>
      </c>
      <c r="H46" s="89">
        <f>G46</f>
        <v>20.100000000000001</v>
      </c>
    </row>
    <row r="47" spans="1:8" s="13" customFormat="1" ht="36" customHeight="1" thickTop="1" thickBot="1" x14ac:dyDescent="0.3">
      <c r="A47" s="83"/>
      <c r="C47" s="277" t="s">
        <v>177</v>
      </c>
      <c r="D47" s="126" t="s">
        <v>74</v>
      </c>
      <c r="E47" s="103">
        <v>23120</v>
      </c>
      <c r="F47" s="103" t="s">
        <v>29</v>
      </c>
      <c r="G47" s="104">
        <v>7</v>
      </c>
      <c r="H47" s="89">
        <f>G47</f>
        <v>7</v>
      </c>
    </row>
    <row r="48" spans="1:8" s="13" customFormat="1" ht="12" customHeight="1" thickTop="1" thickBot="1" x14ac:dyDescent="0.3">
      <c r="A48" s="83"/>
      <c r="C48" s="20"/>
      <c r="D48" s="127"/>
      <c r="E48" s="22"/>
      <c r="F48" s="22"/>
      <c r="G48" s="22"/>
      <c r="H48" s="23"/>
    </row>
    <row r="49" spans="1:8" s="12" customFormat="1" ht="35.25" customHeight="1" thickBot="1" x14ac:dyDescent="0.3">
      <c r="A49" s="81"/>
      <c r="C49" s="230" t="s">
        <v>47</v>
      </c>
      <c r="D49" s="231"/>
      <c r="E49" s="231"/>
      <c r="F49" s="231"/>
      <c r="G49" s="232"/>
      <c r="H49" s="73">
        <f>SUM(H10:H48)</f>
        <v>1043.3699999999999</v>
      </c>
    </row>
    <row r="51" spans="1:8" ht="104.25" customHeight="1" thickBot="1" x14ac:dyDescent="0.3"/>
    <row r="52" spans="1:8" s="13" customFormat="1" ht="24.95" customHeight="1" x14ac:dyDescent="0.25">
      <c r="A52" s="83" t="s">
        <v>105</v>
      </c>
      <c r="C52" s="270" t="s">
        <v>168</v>
      </c>
      <c r="D52" s="243" t="s">
        <v>71</v>
      </c>
      <c r="E52" s="228">
        <v>23120</v>
      </c>
      <c r="F52" s="95" t="s">
        <v>73</v>
      </c>
      <c r="G52" s="79">
        <v>38.75</v>
      </c>
      <c r="H52" s="229">
        <f>SUM(G52:G55)</f>
        <v>198.33999999999997</v>
      </c>
    </row>
    <row r="53" spans="1:8" s="13" customFormat="1" ht="24.95" customHeight="1" x14ac:dyDescent="0.25">
      <c r="A53" s="13" t="s">
        <v>107</v>
      </c>
      <c r="C53" s="269"/>
      <c r="D53" s="244"/>
      <c r="E53" s="245"/>
      <c r="F53" s="29" t="s">
        <v>12</v>
      </c>
      <c r="G53" s="62">
        <v>3.3</v>
      </c>
      <c r="H53" s="209"/>
    </row>
    <row r="54" spans="1:8" s="13" customFormat="1" ht="24.95" customHeight="1" x14ac:dyDescent="0.25">
      <c r="A54" s="83" t="s">
        <v>17</v>
      </c>
      <c r="C54" s="269"/>
      <c r="D54" s="128" t="s">
        <v>104</v>
      </c>
      <c r="E54" s="25">
        <v>22606</v>
      </c>
      <c r="F54" s="24" t="s">
        <v>73</v>
      </c>
      <c r="G54" s="30">
        <v>150.09</v>
      </c>
      <c r="H54" s="209"/>
    </row>
    <row r="55" spans="1:8" s="13" customFormat="1" ht="24.95" customHeight="1" thickBot="1" x14ac:dyDescent="0.3">
      <c r="A55" s="83"/>
      <c r="C55" s="266"/>
      <c r="D55" s="129" t="s">
        <v>72</v>
      </c>
      <c r="E55" s="36">
        <v>22699</v>
      </c>
      <c r="F55" s="14" t="s">
        <v>73</v>
      </c>
      <c r="G55" s="28">
        <v>6.2</v>
      </c>
      <c r="H55" s="210"/>
    </row>
    <row r="56" spans="1:8" s="13" customFormat="1" ht="12" customHeight="1" thickTop="1" thickBot="1" x14ac:dyDescent="0.3">
      <c r="A56" s="83"/>
      <c r="C56" s="20"/>
      <c r="D56" s="127"/>
      <c r="E56" s="22"/>
      <c r="F56" s="22"/>
      <c r="G56" s="22"/>
      <c r="H56" s="23"/>
    </row>
    <row r="57" spans="1:8" s="12" customFormat="1" ht="32.25" customHeight="1" thickBot="1" x14ac:dyDescent="0.3">
      <c r="A57" s="81"/>
      <c r="C57" s="205" t="s">
        <v>101</v>
      </c>
      <c r="D57" s="206"/>
      <c r="E57" s="206"/>
      <c r="F57" s="206"/>
      <c r="G57" s="207"/>
      <c r="H57" s="73">
        <f>SUM(H51:H56)</f>
        <v>198.33999999999997</v>
      </c>
    </row>
    <row r="59" spans="1:8" ht="16.5" thickBot="1" x14ac:dyDescent="0.3"/>
    <row r="60" spans="1:8" s="13" customFormat="1" ht="24.95" customHeight="1" x14ac:dyDescent="0.25">
      <c r="A60" s="83" t="s">
        <v>108</v>
      </c>
      <c r="C60" s="226"/>
      <c r="D60" s="130"/>
      <c r="E60" s="91"/>
      <c r="F60" s="78"/>
      <c r="G60" s="79"/>
      <c r="H60" s="229">
        <f>G60+G61+G62</f>
        <v>0</v>
      </c>
    </row>
    <row r="61" spans="1:8" s="13" customFormat="1" ht="24.95" customHeight="1" x14ac:dyDescent="0.25">
      <c r="A61" s="13" t="s">
        <v>109</v>
      </c>
      <c r="C61" s="212"/>
      <c r="D61" s="128"/>
      <c r="E61" s="25"/>
      <c r="F61" s="24"/>
      <c r="G61" s="30"/>
      <c r="H61" s="209"/>
    </row>
    <row r="62" spans="1:8" s="13" customFormat="1" ht="24.95" customHeight="1" thickBot="1" x14ac:dyDescent="0.3">
      <c r="A62" s="83" t="s">
        <v>25</v>
      </c>
      <c r="C62" s="213"/>
      <c r="D62" s="129"/>
      <c r="E62" s="36"/>
      <c r="F62" s="24"/>
      <c r="G62" s="28"/>
      <c r="H62" s="210"/>
    </row>
    <row r="63" spans="1:8" s="13" customFormat="1" ht="12" customHeight="1" thickTop="1" thickBot="1" x14ac:dyDescent="0.3">
      <c r="A63" s="83"/>
      <c r="C63" s="20"/>
      <c r="D63" s="127"/>
      <c r="E63" s="22"/>
      <c r="F63" s="22"/>
      <c r="G63" s="22"/>
      <c r="H63" s="23"/>
    </row>
    <row r="64" spans="1:8" s="12" customFormat="1" ht="32.25" customHeight="1" thickBot="1" x14ac:dyDescent="0.3">
      <c r="A64" s="81"/>
      <c r="C64" s="205" t="s">
        <v>102</v>
      </c>
      <c r="D64" s="206"/>
      <c r="E64" s="206"/>
      <c r="F64" s="206"/>
      <c r="G64" s="207"/>
      <c r="H64" s="73">
        <f>SUM(H59:H63)</f>
        <v>0</v>
      </c>
    </row>
    <row r="66" spans="1:8" ht="16.5" thickBot="1" x14ac:dyDescent="0.3"/>
    <row r="67" spans="1:8" s="74" customFormat="1" ht="26.25" x14ac:dyDescent="0.4">
      <c r="A67" s="80"/>
      <c r="C67" s="218" t="s">
        <v>100</v>
      </c>
      <c r="D67" s="219"/>
      <c r="E67" s="219"/>
      <c r="F67" s="219"/>
      <c r="G67" s="220"/>
      <c r="H67" s="224">
        <f>H49+H57+H64</f>
        <v>1241.7099999999998</v>
      </c>
    </row>
    <row r="68" spans="1:8" s="74" customFormat="1" ht="27" thickBot="1" x14ac:dyDescent="0.45">
      <c r="A68" s="80"/>
      <c r="C68" s="221"/>
      <c r="D68" s="222"/>
      <c r="E68" s="222"/>
      <c r="F68" s="222"/>
      <c r="G68" s="223"/>
      <c r="H68" s="225"/>
    </row>
  </sheetData>
  <mergeCells count="43">
    <mergeCell ref="C26:C27"/>
    <mergeCell ref="H26:H27"/>
    <mergeCell ref="H17:H18"/>
    <mergeCell ref="D28:D35"/>
    <mergeCell ref="C28:C35"/>
    <mergeCell ref="H28:H35"/>
    <mergeCell ref="E34:E35"/>
    <mergeCell ref="E28:E33"/>
    <mergeCell ref="H36:H40"/>
    <mergeCell ref="D36:D38"/>
    <mergeCell ref="C43:C45"/>
    <mergeCell ref="H43:H45"/>
    <mergeCell ref="C36:C40"/>
    <mergeCell ref="E36:E38"/>
    <mergeCell ref="C67:G68"/>
    <mergeCell ref="H67:H68"/>
    <mergeCell ref="D52:D53"/>
    <mergeCell ref="E52:E53"/>
    <mergeCell ref="D43:D44"/>
    <mergeCell ref="E43:E44"/>
    <mergeCell ref="C57:G57"/>
    <mergeCell ref="C60:C62"/>
    <mergeCell ref="H60:H62"/>
    <mergeCell ref="C64:G64"/>
    <mergeCell ref="C49:G49"/>
    <mergeCell ref="C52:C55"/>
    <mergeCell ref="H52:H55"/>
    <mergeCell ref="C12:C13"/>
    <mergeCell ref="C23:C24"/>
    <mergeCell ref="D23:D24"/>
    <mergeCell ref="H23:H24"/>
    <mergeCell ref="C17:C18"/>
    <mergeCell ref="D17:D18"/>
    <mergeCell ref="E17:E18"/>
    <mergeCell ref="F17:F18"/>
    <mergeCell ref="G17:G18"/>
    <mergeCell ref="H12:H13"/>
    <mergeCell ref="C19:C20"/>
    <mergeCell ref="H19:H20"/>
    <mergeCell ref="C14:C16"/>
    <mergeCell ref="D14:D15"/>
    <mergeCell ref="E14:E15"/>
    <mergeCell ref="H14:H16"/>
  </mergeCells>
  <pageMargins left="0.7" right="0.7" top="0.75" bottom="0.75" header="0.3" footer="0.3"/>
  <pageSetup paperSize="9" scale="5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47"/>
  <sheetViews>
    <sheetView showGridLines="0" workbookViewId="0">
      <selection activeCell="C9" sqref="C9"/>
    </sheetView>
  </sheetViews>
  <sheetFormatPr baseColWidth="10" defaultRowHeight="15.75" x14ac:dyDescent="0.25"/>
  <cols>
    <col min="1" max="1" width="11.42578125" style="80"/>
    <col min="2" max="2" width="2.42578125" customWidth="1"/>
    <col min="3" max="3" width="25.140625" customWidth="1"/>
    <col min="4" max="4" width="44.7109375" style="116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6" customFormat="1" ht="29.25" customHeight="1" thickBot="1" x14ac:dyDescent="0.3">
      <c r="A6" s="81"/>
      <c r="C6" s="3" t="s">
        <v>110</v>
      </c>
      <c r="D6" s="117"/>
      <c r="E6" s="4"/>
      <c r="F6" s="4" t="s">
        <v>16</v>
      </c>
      <c r="G6" s="4"/>
      <c r="H6" s="5">
        <v>43756</v>
      </c>
    </row>
    <row r="8" spans="1:8" ht="16.5" thickBot="1" x14ac:dyDescent="0.3"/>
    <row r="9" spans="1:8" s="11" customFormat="1" ht="22.5" customHeight="1" thickBot="1" x14ac:dyDescent="0.3">
      <c r="A9" s="82"/>
      <c r="C9" s="7" t="s">
        <v>0</v>
      </c>
      <c r="D9" s="118" t="s">
        <v>1</v>
      </c>
      <c r="E9" s="9" t="s">
        <v>7</v>
      </c>
      <c r="F9" s="9" t="s">
        <v>9</v>
      </c>
      <c r="G9" s="9" t="s">
        <v>2</v>
      </c>
      <c r="H9" s="10" t="s">
        <v>10</v>
      </c>
    </row>
    <row r="10" spans="1:8" ht="4.5" customHeight="1" thickBot="1" x14ac:dyDescent="0.3">
      <c r="C10" s="59"/>
      <c r="D10" s="119"/>
      <c r="E10" s="59"/>
      <c r="F10" s="59"/>
      <c r="G10" s="59"/>
      <c r="H10" s="96"/>
    </row>
    <row r="11" spans="1:8" s="13" customFormat="1" ht="26.25" customHeight="1" thickTop="1" x14ac:dyDescent="0.25">
      <c r="A11" s="83" t="s">
        <v>105</v>
      </c>
      <c r="C11" s="272" t="s">
        <v>178</v>
      </c>
      <c r="D11" s="237" t="s">
        <v>114</v>
      </c>
      <c r="E11" s="175">
        <v>23120</v>
      </c>
      <c r="F11" s="100" t="s">
        <v>115</v>
      </c>
      <c r="G11" s="100">
        <f>93.48+45.85</f>
        <v>139.33000000000001</v>
      </c>
      <c r="H11" s="239">
        <f>G13+G11+G12</f>
        <v>149.48000000000002</v>
      </c>
    </row>
    <row r="12" spans="1:8" s="13" customFormat="1" ht="27.75" customHeight="1" x14ac:dyDescent="0.25">
      <c r="A12" s="13" t="s">
        <v>106</v>
      </c>
      <c r="C12" s="258"/>
      <c r="D12" s="241"/>
      <c r="E12" s="242"/>
      <c r="F12" s="132" t="s">
        <v>116</v>
      </c>
      <c r="G12" s="133">
        <v>1.85</v>
      </c>
      <c r="H12" s="247"/>
    </row>
    <row r="13" spans="1:8" s="13" customFormat="1" ht="24.95" customHeight="1" thickBot="1" x14ac:dyDescent="0.3">
      <c r="A13" s="84" t="s">
        <v>16</v>
      </c>
      <c r="C13" s="273"/>
      <c r="D13" s="120" t="s">
        <v>113</v>
      </c>
      <c r="E13" s="114">
        <v>23020</v>
      </c>
      <c r="F13" s="101" t="s">
        <v>115</v>
      </c>
      <c r="G13" s="41">
        <v>8.3000000000000007</v>
      </c>
      <c r="H13" s="240"/>
    </row>
    <row r="14" spans="1:8" s="13" customFormat="1" ht="30.75" customHeight="1" thickTop="1" thickBot="1" x14ac:dyDescent="0.3">
      <c r="A14" s="83"/>
      <c r="C14" s="268" t="s">
        <v>156</v>
      </c>
      <c r="D14" s="136" t="s">
        <v>119</v>
      </c>
      <c r="E14" s="69">
        <v>23120</v>
      </c>
      <c r="F14" s="137" t="s">
        <v>55</v>
      </c>
      <c r="G14" s="138">
        <v>24.32</v>
      </c>
      <c r="H14" s="72">
        <f>G14</f>
        <v>24.32</v>
      </c>
    </row>
    <row r="15" spans="1:8" s="13" customFormat="1" ht="24.95" customHeight="1" thickTop="1" x14ac:dyDescent="0.25">
      <c r="A15" s="83"/>
      <c r="C15" s="260" t="s">
        <v>172</v>
      </c>
      <c r="D15" s="246" t="s">
        <v>128</v>
      </c>
      <c r="E15" s="186">
        <v>23120</v>
      </c>
      <c r="F15" s="44" t="s">
        <v>76</v>
      </c>
      <c r="G15" s="61">
        <v>14.7</v>
      </c>
      <c r="H15" s="167">
        <f>SUM(G15:G16)</f>
        <v>19.45</v>
      </c>
    </row>
    <row r="16" spans="1:8" s="13" customFormat="1" ht="24.95" customHeight="1" thickBot="1" x14ac:dyDescent="0.3">
      <c r="A16" s="83"/>
      <c r="C16" s="261"/>
      <c r="D16" s="238"/>
      <c r="E16" s="187"/>
      <c r="F16" s="134" t="s">
        <v>30</v>
      </c>
      <c r="G16" s="135">
        <v>4.75</v>
      </c>
      <c r="H16" s="168"/>
    </row>
    <row r="17" spans="1:8" s="13" customFormat="1" ht="24" customHeight="1" thickTop="1" x14ac:dyDescent="0.25">
      <c r="A17" s="83"/>
      <c r="C17" s="262" t="s">
        <v>158</v>
      </c>
      <c r="D17" s="246" t="s">
        <v>119</v>
      </c>
      <c r="E17" s="175">
        <v>23120</v>
      </c>
      <c r="F17" s="107" t="s">
        <v>123</v>
      </c>
      <c r="G17" s="108">
        <v>12.16</v>
      </c>
      <c r="H17" s="208">
        <f>G17+G18+G19</f>
        <v>31.54</v>
      </c>
    </row>
    <row r="18" spans="1:8" s="13" customFormat="1" ht="23.25" customHeight="1" x14ac:dyDescent="0.25">
      <c r="A18" s="83"/>
      <c r="C18" s="260"/>
      <c r="D18" s="246"/>
      <c r="E18" s="186"/>
      <c r="F18" s="50" t="s">
        <v>124</v>
      </c>
      <c r="G18" s="106">
        <v>10.93</v>
      </c>
      <c r="H18" s="209"/>
    </row>
    <row r="19" spans="1:8" s="13" customFormat="1" ht="24.75" customHeight="1" thickBot="1" x14ac:dyDescent="0.3">
      <c r="A19" s="83"/>
      <c r="C19" s="261"/>
      <c r="D19" s="238"/>
      <c r="E19" s="187"/>
      <c r="F19" s="134" t="s">
        <v>31</v>
      </c>
      <c r="G19" s="135">
        <v>8.4499999999999993</v>
      </c>
      <c r="H19" s="210"/>
    </row>
    <row r="20" spans="1:8" s="13" customFormat="1" ht="24.95" customHeight="1" thickTop="1" thickBot="1" x14ac:dyDescent="0.3">
      <c r="A20" s="83"/>
      <c r="C20" s="276" t="s">
        <v>159</v>
      </c>
      <c r="D20" s="122" t="s">
        <v>120</v>
      </c>
      <c r="E20" s="65">
        <v>23120</v>
      </c>
      <c r="F20" s="44" t="s">
        <v>30</v>
      </c>
      <c r="G20" s="61">
        <v>10.199999999999999</v>
      </c>
      <c r="H20" s="113">
        <f>SUM(G20:G20)</f>
        <v>10.199999999999999</v>
      </c>
    </row>
    <row r="21" spans="1:8" s="13" customFormat="1" ht="24.95" customHeight="1" thickTop="1" thickBot="1" x14ac:dyDescent="0.3">
      <c r="A21" s="83"/>
      <c r="C21" s="276" t="s">
        <v>160</v>
      </c>
      <c r="D21" s="140" t="s">
        <v>129</v>
      </c>
      <c r="E21" s="40">
        <v>22606</v>
      </c>
      <c r="F21" s="65" t="s">
        <v>20</v>
      </c>
      <c r="G21" s="47">
        <f>51.2+2+4+5.9+4.1+6.15+2.1+29.65</f>
        <v>105.1</v>
      </c>
      <c r="H21" s="139">
        <f>G21</f>
        <v>105.1</v>
      </c>
    </row>
    <row r="22" spans="1:8" s="13" customFormat="1" ht="24.95" customHeight="1" thickTop="1" x14ac:dyDescent="0.25">
      <c r="A22" s="83"/>
      <c r="C22" s="262" t="s">
        <v>175</v>
      </c>
      <c r="D22" s="237" t="s">
        <v>117</v>
      </c>
      <c r="E22" s="175">
        <v>23120</v>
      </c>
      <c r="F22" s="107" t="s">
        <v>99</v>
      </c>
      <c r="G22" s="108">
        <v>8.15</v>
      </c>
      <c r="H22" s="208">
        <f>SUM(G22:G24)</f>
        <v>32.65</v>
      </c>
    </row>
    <row r="23" spans="1:8" s="13" customFormat="1" ht="24.95" customHeight="1" x14ac:dyDescent="0.25">
      <c r="A23" s="83"/>
      <c r="C23" s="260"/>
      <c r="D23" s="246"/>
      <c r="E23" s="186"/>
      <c r="F23" s="50" t="s">
        <v>118</v>
      </c>
      <c r="G23" s="106">
        <v>7.55</v>
      </c>
      <c r="H23" s="209"/>
    </row>
    <row r="24" spans="1:8" s="13" customFormat="1" ht="24.95" customHeight="1" thickBot="1" x14ac:dyDescent="0.3">
      <c r="A24" s="83"/>
      <c r="C24" s="261"/>
      <c r="D24" s="238"/>
      <c r="E24" s="187"/>
      <c r="F24" s="41" t="s">
        <v>95</v>
      </c>
      <c r="G24" s="105">
        <f>8.5+8.45</f>
        <v>16.95</v>
      </c>
      <c r="H24" s="210"/>
    </row>
    <row r="25" spans="1:8" s="13" customFormat="1" ht="24.95" customHeight="1" thickTop="1" x14ac:dyDescent="0.25">
      <c r="A25" s="83"/>
      <c r="C25" s="260" t="s">
        <v>162</v>
      </c>
      <c r="D25" s="246" t="s">
        <v>121</v>
      </c>
      <c r="E25" s="186">
        <v>23120</v>
      </c>
      <c r="F25" s="44" t="s">
        <v>126</v>
      </c>
      <c r="G25" s="61">
        <v>4.18</v>
      </c>
      <c r="H25" s="167">
        <f>G25+G26</f>
        <v>14.379999999999999</v>
      </c>
    </row>
    <row r="26" spans="1:8" s="13" customFormat="1" ht="24.95" customHeight="1" thickBot="1" x14ac:dyDescent="0.3">
      <c r="A26" s="83"/>
      <c r="C26" s="261"/>
      <c r="D26" s="238"/>
      <c r="E26" s="187"/>
      <c r="F26" s="134" t="s">
        <v>127</v>
      </c>
      <c r="G26" s="135">
        <v>10.199999999999999</v>
      </c>
      <c r="H26" s="168"/>
    </row>
    <row r="27" spans="1:8" s="13" customFormat="1" ht="24.95" customHeight="1" thickTop="1" thickBot="1" x14ac:dyDescent="0.3">
      <c r="A27" s="83"/>
      <c r="C27" s="276" t="s">
        <v>163</v>
      </c>
      <c r="D27" s="115" t="s">
        <v>121</v>
      </c>
      <c r="E27" s="112">
        <v>23120</v>
      </c>
      <c r="F27" s="40" t="s">
        <v>122</v>
      </c>
      <c r="G27" s="40">
        <v>12.16</v>
      </c>
      <c r="H27" s="113">
        <f>G27</f>
        <v>12.16</v>
      </c>
    </row>
    <row r="28" spans="1:8" s="13" customFormat="1" ht="24.95" customHeight="1" thickTop="1" thickBot="1" x14ac:dyDescent="0.3">
      <c r="A28" s="83"/>
      <c r="C28" s="262" t="s">
        <v>179</v>
      </c>
      <c r="D28" s="115" t="s">
        <v>111</v>
      </c>
      <c r="E28" s="65">
        <v>23120</v>
      </c>
      <c r="F28" s="40" t="s">
        <v>112</v>
      </c>
      <c r="G28" s="40">
        <f>5.9+21.41+28.78+4.82</f>
        <v>60.910000000000004</v>
      </c>
      <c r="H28" s="178">
        <f>G28+G29</f>
        <v>104.62</v>
      </c>
    </row>
    <row r="29" spans="1:8" s="13" customFormat="1" ht="24.95" customHeight="1" thickTop="1" thickBot="1" x14ac:dyDescent="0.3">
      <c r="A29" s="83"/>
      <c r="C29" s="260"/>
      <c r="D29" s="120" t="s">
        <v>113</v>
      </c>
      <c r="E29" s="114">
        <v>23020</v>
      </c>
      <c r="F29" s="110" t="s">
        <v>112</v>
      </c>
      <c r="G29" s="40">
        <f>11.05+22.62+10.04</f>
        <v>43.71</v>
      </c>
      <c r="H29" s="167"/>
    </row>
    <row r="30" spans="1:8" s="12" customFormat="1" ht="35.25" customHeight="1" thickTop="1" thickBot="1" x14ac:dyDescent="0.3">
      <c r="A30" s="81"/>
      <c r="C30" s="286" t="s">
        <v>47</v>
      </c>
      <c r="D30" s="231"/>
      <c r="E30" s="231"/>
      <c r="F30" s="231"/>
      <c r="G30" s="232"/>
      <c r="H30" s="131">
        <f>SUM(H10:H29)</f>
        <v>503.9</v>
      </c>
    </row>
    <row r="31" spans="1:8" x14ac:dyDescent="0.25">
      <c r="C31" s="284"/>
    </row>
    <row r="32" spans="1:8" x14ac:dyDescent="0.25">
      <c r="C32" s="284"/>
    </row>
    <row r="33" spans="1:8" ht="16.5" thickBot="1" x14ac:dyDescent="0.3">
      <c r="C33" s="284"/>
    </row>
    <row r="34" spans="1:8" s="74" customFormat="1" ht="26.25" x14ac:dyDescent="0.4">
      <c r="A34" s="80"/>
      <c r="C34" s="287" t="s">
        <v>125</v>
      </c>
      <c r="D34" s="219"/>
      <c r="E34" s="219"/>
      <c r="F34" s="219"/>
      <c r="G34" s="220"/>
      <c r="H34" s="224">
        <f>H30</f>
        <v>503.9</v>
      </c>
    </row>
    <row r="35" spans="1:8" s="74" customFormat="1" ht="27" thickBot="1" x14ac:dyDescent="0.45">
      <c r="A35" s="80"/>
      <c r="C35" s="288"/>
      <c r="D35" s="222"/>
      <c r="E35" s="222"/>
      <c r="F35" s="222"/>
      <c r="G35" s="223"/>
      <c r="H35" s="225"/>
    </row>
    <row r="36" spans="1:8" x14ac:dyDescent="0.25">
      <c r="C36" s="284"/>
    </row>
    <row r="37" spans="1:8" x14ac:dyDescent="0.25">
      <c r="C37" s="284"/>
    </row>
    <row r="38" spans="1:8" x14ac:dyDescent="0.25">
      <c r="C38" s="284"/>
    </row>
    <row r="39" spans="1:8" x14ac:dyDescent="0.25">
      <c r="C39" s="284"/>
    </row>
    <row r="40" spans="1:8" x14ac:dyDescent="0.25">
      <c r="C40" s="284"/>
    </row>
    <row r="41" spans="1:8" x14ac:dyDescent="0.25">
      <c r="C41" s="284"/>
    </row>
    <row r="42" spans="1:8" x14ac:dyDescent="0.25">
      <c r="C42" s="284"/>
    </row>
    <row r="43" spans="1:8" x14ac:dyDescent="0.25">
      <c r="C43" s="284"/>
    </row>
    <row r="44" spans="1:8" x14ac:dyDescent="0.25">
      <c r="C44" s="284"/>
    </row>
    <row r="45" spans="1:8" x14ac:dyDescent="0.25">
      <c r="C45" s="284"/>
    </row>
    <row r="46" spans="1:8" x14ac:dyDescent="0.25">
      <c r="C46" s="284"/>
    </row>
    <row r="47" spans="1:8" x14ac:dyDescent="0.25">
      <c r="C47" s="284"/>
    </row>
  </sheetData>
  <mergeCells count="25">
    <mergeCell ref="C34:G35"/>
    <mergeCell ref="H34:H35"/>
    <mergeCell ref="C30:G30"/>
    <mergeCell ref="C28:C29"/>
    <mergeCell ref="C22:C24"/>
    <mergeCell ref="D22:D24"/>
    <mergeCell ref="E22:E24"/>
    <mergeCell ref="H22:H24"/>
    <mergeCell ref="C25:C26"/>
    <mergeCell ref="D25:D26"/>
    <mergeCell ref="E25:E26"/>
    <mergeCell ref="H28:H29"/>
    <mergeCell ref="H25:H26"/>
    <mergeCell ref="C15:C16"/>
    <mergeCell ref="C17:C19"/>
    <mergeCell ref="D17:D19"/>
    <mergeCell ref="C11:C13"/>
    <mergeCell ref="H11:H13"/>
    <mergeCell ref="E17:E19"/>
    <mergeCell ref="H17:H19"/>
    <mergeCell ref="D11:D12"/>
    <mergeCell ref="E11:E12"/>
    <mergeCell ref="D15:D16"/>
    <mergeCell ref="H15:H16"/>
    <mergeCell ref="E15:E16"/>
  </mergeCells>
  <pageMargins left="0.7" right="0.7" top="0.75" bottom="0.75" header="0.3" footer="0.3"/>
  <pageSetup paperSize="9" scale="6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50"/>
  <sheetViews>
    <sheetView showGridLines="0" workbookViewId="0">
      <selection activeCell="C8" sqref="C8"/>
    </sheetView>
  </sheetViews>
  <sheetFormatPr baseColWidth="10" defaultRowHeight="15.75" x14ac:dyDescent="0.25"/>
  <cols>
    <col min="1" max="1" width="11.42578125" style="80"/>
    <col min="2" max="2" width="2.42578125" customWidth="1"/>
    <col min="3" max="3" width="25.140625" customWidth="1"/>
    <col min="4" max="4" width="44.7109375" style="116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6" customFormat="1" ht="29.25" customHeight="1" thickBot="1" x14ac:dyDescent="0.3">
      <c r="A6" s="81"/>
      <c r="C6" s="3" t="s">
        <v>147</v>
      </c>
      <c r="D6" s="117"/>
      <c r="E6" s="4"/>
      <c r="F6" s="4"/>
      <c r="G6" s="4"/>
      <c r="H6" s="5">
        <v>43819</v>
      </c>
    </row>
    <row r="7" spans="1:8" ht="16.5" thickBot="1" x14ac:dyDescent="0.3"/>
    <row r="8" spans="1:8" s="11" customFormat="1" ht="22.5" customHeight="1" thickBot="1" x14ac:dyDescent="0.3">
      <c r="A8" s="82"/>
      <c r="C8" s="7" t="s">
        <v>0</v>
      </c>
      <c r="D8" s="118" t="s">
        <v>1</v>
      </c>
      <c r="E8" s="9" t="s">
        <v>7</v>
      </c>
      <c r="F8" s="9" t="s">
        <v>9</v>
      </c>
      <c r="G8" s="9" t="s">
        <v>2</v>
      </c>
      <c r="H8" s="10" t="s">
        <v>10</v>
      </c>
    </row>
    <row r="9" spans="1:8" ht="6" customHeight="1" thickBot="1" x14ac:dyDescent="0.3">
      <c r="C9" s="147"/>
      <c r="D9" s="148"/>
      <c r="E9" s="1"/>
      <c r="F9" s="1"/>
      <c r="G9" s="1"/>
      <c r="H9" s="149"/>
    </row>
    <row r="10" spans="1:8" s="13" customFormat="1" ht="30.75" customHeight="1" thickBot="1" x14ac:dyDescent="0.3">
      <c r="A10" s="83" t="s">
        <v>105</v>
      </c>
      <c r="C10" s="289" t="s">
        <v>170</v>
      </c>
      <c r="D10" s="150" t="s">
        <v>131</v>
      </c>
      <c r="E10" s="151">
        <v>23120</v>
      </c>
      <c r="F10" s="98" t="s">
        <v>133</v>
      </c>
      <c r="G10" s="152">
        <v>1.24</v>
      </c>
      <c r="H10" s="153">
        <f>G10</f>
        <v>1.24</v>
      </c>
    </row>
    <row r="11" spans="1:8" s="13" customFormat="1" ht="24" customHeight="1" thickTop="1" x14ac:dyDescent="0.25">
      <c r="A11" s="13" t="s">
        <v>106</v>
      </c>
      <c r="C11" s="262" t="s">
        <v>154</v>
      </c>
      <c r="D11" s="237" t="s">
        <v>141</v>
      </c>
      <c r="E11" s="175">
        <v>23120</v>
      </c>
      <c r="F11" s="107" t="s">
        <v>82</v>
      </c>
      <c r="G11" s="108">
        <f>3.2+7</f>
        <v>10.199999999999999</v>
      </c>
      <c r="H11" s="208">
        <f>G11+G12</f>
        <v>14.78</v>
      </c>
    </row>
    <row r="12" spans="1:8" s="13" customFormat="1" ht="23.25" customHeight="1" thickBot="1" x14ac:dyDescent="0.3">
      <c r="A12" s="84" t="s">
        <v>16</v>
      </c>
      <c r="C12" s="261"/>
      <c r="D12" s="238"/>
      <c r="E12" s="187"/>
      <c r="F12" s="146" t="s">
        <v>139</v>
      </c>
      <c r="G12" s="135">
        <v>4.58</v>
      </c>
      <c r="H12" s="210"/>
    </row>
    <row r="13" spans="1:8" s="13" customFormat="1" ht="24" customHeight="1" thickTop="1" x14ac:dyDescent="0.25">
      <c r="A13" s="83"/>
      <c r="C13" s="262" t="s">
        <v>158</v>
      </c>
      <c r="D13" s="237" t="s">
        <v>132</v>
      </c>
      <c r="E13" s="175">
        <v>23120</v>
      </c>
      <c r="F13" s="107" t="s">
        <v>80</v>
      </c>
      <c r="G13" s="108">
        <v>22.55</v>
      </c>
      <c r="H13" s="208">
        <f>G13+G14</f>
        <v>44.400000000000006</v>
      </c>
    </row>
    <row r="14" spans="1:8" s="13" customFormat="1" ht="23.25" customHeight="1" thickBot="1" x14ac:dyDescent="0.3">
      <c r="A14" s="83"/>
      <c r="C14" s="261"/>
      <c r="D14" s="238"/>
      <c r="E14" s="187"/>
      <c r="F14" s="146" t="s">
        <v>133</v>
      </c>
      <c r="G14" s="135">
        <v>21.85</v>
      </c>
      <c r="H14" s="210"/>
    </row>
    <row r="15" spans="1:8" s="13" customFormat="1" ht="24.95" customHeight="1" thickTop="1" x14ac:dyDescent="0.25">
      <c r="A15" s="83"/>
      <c r="C15" s="262" t="s">
        <v>174</v>
      </c>
      <c r="D15" s="250" t="s">
        <v>145</v>
      </c>
      <c r="E15" s="175">
        <v>23120</v>
      </c>
      <c r="F15" s="158" t="s">
        <v>144</v>
      </c>
      <c r="G15" s="108">
        <f>(63*0.19)+5.2</f>
        <v>17.170000000000002</v>
      </c>
      <c r="H15" s="208">
        <f>SUM(G15:G20)</f>
        <v>701.375</v>
      </c>
    </row>
    <row r="16" spans="1:8" s="13" customFormat="1" ht="24.95" customHeight="1" x14ac:dyDescent="0.25">
      <c r="A16" s="83"/>
      <c r="C16" s="260"/>
      <c r="D16" s="251"/>
      <c r="E16" s="186"/>
      <c r="F16" s="159" t="s">
        <v>88</v>
      </c>
      <c r="G16" s="106">
        <f>(64+64)*0.19</f>
        <v>24.32</v>
      </c>
      <c r="H16" s="209"/>
    </row>
    <row r="17" spans="1:8" s="13" customFormat="1" ht="24.95" customHeight="1" x14ac:dyDescent="0.25">
      <c r="A17" s="83"/>
      <c r="C17" s="260"/>
      <c r="D17" s="251"/>
      <c r="E17" s="186"/>
      <c r="F17" s="159" t="s">
        <v>86</v>
      </c>
      <c r="G17" s="106">
        <f>64*0.19</f>
        <v>12.16</v>
      </c>
      <c r="H17" s="209"/>
    </row>
    <row r="18" spans="1:8" s="13" customFormat="1" ht="24.95" customHeight="1" x14ac:dyDescent="0.25">
      <c r="A18" s="83"/>
      <c r="C18" s="260"/>
      <c r="D18" s="251"/>
      <c r="E18" s="242"/>
      <c r="F18" s="159" t="s">
        <v>87</v>
      </c>
      <c r="G18" s="106">
        <f>100.5*0.19</f>
        <v>19.094999999999999</v>
      </c>
      <c r="H18" s="209"/>
    </row>
    <row r="19" spans="1:8" s="13" customFormat="1" ht="24.95" customHeight="1" x14ac:dyDescent="0.25">
      <c r="A19" s="83"/>
      <c r="C19" s="260"/>
      <c r="D19" s="246"/>
      <c r="E19" s="186">
        <v>22606</v>
      </c>
      <c r="F19" s="44" t="s">
        <v>84</v>
      </c>
      <c r="G19" s="61">
        <v>152.65</v>
      </c>
      <c r="H19" s="209"/>
    </row>
    <row r="20" spans="1:8" s="13" customFormat="1" ht="24.95" customHeight="1" thickBot="1" x14ac:dyDescent="0.3">
      <c r="A20" s="83"/>
      <c r="C20" s="261"/>
      <c r="D20" s="238"/>
      <c r="E20" s="187"/>
      <c r="F20" s="41" t="s">
        <v>144</v>
      </c>
      <c r="G20" s="42">
        <v>475.98</v>
      </c>
      <c r="H20" s="210"/>
    </row>
    <row r="21" spans="1:8" s="13" customFormat="1" ht="42.75" customHeight="1" thickTop="1" thickBot="1" x14ac:dyDescent="0.3">
      <c r="A21" s="83"/>
      <c r="C21" s="268" t="s">
        <v>175</v>
      </c>
      <c r="D21" s="136" t="s">
        <v>142</v>
      </c>
      <c r="E21" s="69">
        <v>23120</v>
      </c>
      <c r="F21" s="70" t="s">
        <v>95</v>
      </c>
      <c r="G21" s="155">
        <f>31.35+30.23</f>
        <v>61.58</v>
      </c>
      <c r="H21" s="34">
        <f>SUM(G21:G21)</f>
        <v>61.58</v>
      </c>
    </row>
    <row r="22" spans="1:8" s="13" customFormat="1" ht="24.95" customHeight="1" thickTop="1" x14ac:dyDescent="0.25">
      <c r="A22" s="83"/>
      <c r="C22" s="260" t="s">
        <v>162</v>
      </c>
      <c r="D22" s="246" t="s">
        <v>134</v>
      </c>
      <c r="E22" s="186">
        <v>23120</v>
      </c>
      <c r="F22" s="44" t="s">
        <v>81</v>
      </c>
      <c r="G22" s="61">
        <f>(22+22+22)*0.19</f>
        <v>12.540000000000001</v>
      </c>
      <c r="H22" s="167">
        <f>G22+G25+G23+G24</f>
        <v>35.28</v>
      </c>
    </row>
    <row r="23" spans="1:8" s="13" customFormat="1" ht="24.95" customHeight="1" x14ac:dyDescent="0.25">
      <c r="A23" s="83"/>
      <c r="C23" s="260"/>
      <c r="D23" s="248"/>
      <c r="E23" s="186"/>
      <c r="F23" s="50" t="s">
        <v>138</v>
      </c>
      <c r="G23" s="106">
        <f>22*0.19</f>
        <v>4.18</v>
      </c>
      <c r="H23" s="167"/>
    </row>
    <row r="24" spans="1:8" s="13" customFormat="1" ht="24.95" customHeight="1" x14ac:dyDescent="0.25">
      <c r="A24" s="83"/>
      <c r="C24" s="260"/>
      <c r="D24" s="248"/>
      <c r="E24" s="186"/>
      <c r="F24" s="48" t="s">
        <v>139</v>
      </c>
      <c r="G24" s="109">
        <f>10.2+22*0.19</f>
        <v>14.379999999999999</v>
      </c>
      <c r="H24" s="167"/>
    </row>
    <row r="25" spans="1:8" s="13" customFormat="1" ht="24.95" customHeight="1" thickBot="1" x14ac:dyDescent="0.3">
      <c r="A25" s="83"/>
      <c r="C25" s="261"/>
      <c r="D25" s="249"/>
      <c r="E25" s="187"/>
      <c r="F25" s="134" t="s">
        <v>140</v>
      </c>
      <c r="G25" s="135">
        <f>22*0.19</f>
        <v>4.18</v>
      </c>
      <c r="H25" s="168"/>
    </row>
    <row r="26" spans="1:8" s="13" customFormat="1" ht="24.95" customHeight="1" thickTop="1" thickBot="1" x14ac:dyDescent="0.3">
      <c r="A26" s="83"/>
      <c r="C26" s="275" t="s">
        <v>180</v>
      </c>
      <c r="D26" s="136" t="s">
        <v>143</v>
      </c>
      <c r="E26" s="141">
        <v>23120</v>
      </c>
      <c r="F26" s="48" t="s">
        <v>82</v>
      </c>
      <c r="G26" s="49">
        <v>6.2</v>
      </c>
      <c r="H26" s="142">
        <f>G26</f>
        <v>6.2</v>
      </c>
    </row>
    <row r="27" spans="1:8" s="13" customFormat="1" ht="37.5" customHeight="1" thickTop="1" x14ac:dyDescent="0.25">
      <c r="A27" s="83"/>
      <c r="C27" s="272" t="s">
        <v>163</v>
      </c>
      <c r="D27" s="237" t="s">
        <v>134</v>
      </c>
      <c r="E27" s="180">
        <v>23120</v>
      </c>
      <c r="F27" s="107" t="s">
        <v>135</v>
      </c>
      <c r="G27" s="107">
        <f>(64+64)*0.19</f>
        <v>24.32</v>
      </c>
      <c r="H27" s="239">
        <f>SUM(G27:G30)</f>
        <v>55.150000000000006</v>
      </c>
    </row>
    <row r="28" spans="1:8" s="13" customFormat="1" ht="37.5" customHeight="1" x14ac:dyDescent="0.25">
      <c r="A28" s="83"/>
      <c r="C28" s="278"/>
      <c r="D28" s="248"/>
      <c r="E28" s="253"/>
      <c r="F28" s="50" t="s">
        <v>136</v>
      </c>
      <c r="G28" s="51">
        <f>53*0.19</f>
        <v>10.07</v>
      </c>
      <c r="H28" s="255"/>
    </row>
    <row r="29" spans="1:8" s="13" customFormat="1" ht="37.5" customHeight="1" x14ac:dyDescent="0.25">
      <c r="A29" s="83"/>
      <c r="C29" s="278"/>
      <c r="D29" s="248"/>
      <c r="E29" s="253"/>
      <c r="F29" s="50" t="s">
        <v>122</v>
      </c>
      <c r="G29" s="51">
        <f>48*0.19</f>
        <v>9.120000000000001</v>
      </c>
      <c r="H29" s="255"/>
    </row>
    <row r="30" spans="1:8" s="13" customFormat="1" ht="37.5" customHeight="1" thickBot="1" x14ac:dyDescent="0.3">
      <c r="A30" s="83"/>
      <c r="C30" s="279"/>
      <c r="D30" s="249"/>
      <c r="E30" s="254"/>
      <c r="F30" s="134" t="s">
        <v>137</v>
      </c>
      <c r="G30" s="146">
        <f>41*0.19+3.85</f>
        <v>11.64</v>
      </c>
      <c r="H30" s="256"/>
    </row>
    <row r="31" spans="1:8" s="13" customFormat="1" ht="37.5" customHeight="1" thickTop="1" thickBot="1" x14ac:dyDescent="0.3">
      <c r="A31" s="83"/>
      <c r="C31" s="280" t="s">
        <v>181</v>
      </c>
      <c r="D31" s="136" t="s">
        <v>143</v>
      </c>
      <c r="E31" s="157">
        <v>23120</v>
      </c>
      <c r="F31" s="70" t="s">
        <v>12</v>
      </c>
      <c r="G31" s="70">
        <v>10.199999999999999</v>
      </c>
      <c r="H31" s="34">
        <f>G31</f>
        <v>10.199999999999999</v>
      </c>
    </row>
    <row r="32" spans="1:8" s="13" customFormat="1" ht="37.5" customHeight="1" thickTop="1" thickBot="1" x14ac:dyDescent="0.3">
      <c r="A32" s="83"/>
      <c r="C32" s="281" t="s">
        <v>176</v>
      </c>
      <c r="D32" s="136" t="s">
        <v>143</v>
      </c>
      <c r="E32" s="156">
        <v>23120</v>
      </c>
      <c r="F32" s="44" t="s">
        <v>12</v>
      </c>
      <c r="G32" s="44">
        <v>20.100000000000001</v>
      </c>
      <c r="H32" s="143">
        <f>G32</f>
        <v>20.100000000000001</v>
      </c>
    </row>
    <row r="33" spans="1:8" s="13" customFormat="1" ht="24.95" customHeight="1" thickTop="1" thickBot="1" x14ac:dyDescent="0.3">
      <c r="A33" s="83"/>
      <c r="C33" s="282" t="s">
        <v>179</v>
      </c>
      <c r="D33" s="160" t="s">
        <v>146</v>
      </c>
      <c r="E33" s="161">
        <v>22606</v>
      </c>
      <c r="F33" s="154"/>
      <c r="G33" s="161">
        <v>56.59</v>
      </c>
      <c r="H33" s="162">
        <f>G33</f>
        <v>56.59</v>
      </c>
    </row>
    <row r="34" spans="1:8" s="12" customFormat="1" ht="35.25" customHeight="1" thickBot="1" x14ac:dyDescent="0.3">
      <c r="A34" s="81"/>
      <c r="C34" s="283" t="s">
        <v>47</v>
      </c>
      <c r="D34" s="206"/>
      <c r="E34" s="206"/>
      <c r="F34" s="206"/>
      <c r="G34" s="207"/>
      <c r="H34" s="73">
        <f>SUM(H9:H33)</f>
        <v>1006.8950000000001</v>
      </c>
    </row>
    <row r="35" spans="1:8" ht="16.5" thickBot="1" x14ac:dyDescent="0.3">
      <c r="C35" s="284"/>
    </row>
    <row r="36" spans="1:8" s="13" customFormat="1" ht="24.95" customHeight="1" x14ac:dyDescent="0.25">
      <c r="A36" s="83" t="s">
        <v>105</v>
      </c>
      <c r="C36" s="270" t="s">
        <v>168</v>
      </c>
      <c r="D36" s="145" t="s">
        <v>153</v>
      </c>
      <c r="E36" s="144">
        <v>22000</v>
      </c>
      <c r="F36" s="95" t="s">
        <v>64</v>
      </c>
      <c r="G36" s="79">
        <f>9.1+3.6+12.12</f>
        <v>24.82</v>
      </c>
      <c r="H36" s="229">
        <f>SUM(G36:G38)</f>
        <v>86.62</v>
      </c>
    </row>
    <row r="37" spans="1:8" s="13" customFormat="1" ht="24.95" customHeight="1" x14ac:dyDescent="0.25">
      <c r="A37" s="13" t="s">
        <v>107</v>
      </c>
      <c r="C37" s="269"/>
      <c r="D37" s="166" t="s">
        <v>143</v>
      </c>
      <c r="E37" s="25">
        <v>23010</v>
      </c>
      <c r="F37" s="24" t="s">
        <v>64</v>
      </c>
      <c r="G37" s="30">
        <f>5.05+6.9+6.3</f>
        <v>18.25</v>
      </c>
      <c r="H37" s="209"/>
    </row>
    <row r="38" spans="1:8" s="13" customFormat="1" ht="24.95" customHeight="1" thickBot="1" x14ac:dyDescent="0.3">
      <c r="A38" s="83" t="s">
        <v>17</v>
      </c>
      <c r="C38" s="266"/>
      <c r="D38" s="165" t="s">
        <v>152</v>
      </c>
      <c r="E38" s="36">
        <v>23110</v>
      </c>
      <c r="F38" s="14" t="s">
        <v>64</v>
      </c>
      <c r="G38" s="28">
        <v>43.55</v>
      </c>
      <c r="H38" s="210"/>
    </row>
    <row r="39" spans="1:8" s="13" customFormat="1" ht="33" customHeight="1" thickTop="1" thickBot="1" x14ac:dyDescent="0.3">
      <c r="A39" s="83"/>
      <c r="C39" s="285" t="s">
        <v>166</v>
      </c>
      <c r="D39" s="136" t="s">
        <v>143</v>
      </c>
      <c r="E39" s="22">
        <v>23120</v>
      </c>
      <c r="F39" s="22" t="s">
        <v>151</v>
      </c>
      <c r="G39" s="22">
        <f>10.53+3.86</f>
        <v>14.389999999999999</v>
      </c>
      <c r="H39" s="164">
        <f>G39</f>
        <v>14.389999999999999</v>
      </c>
    </row>
    <row r="40" spans="1:8" s="13" customFormat="1" ht="33" customHeight="1" thickTop="1" thickBot="1" x14ac:dyDescent="0.3">
      <c r="A40" s="83"/>
      <c r="C40" s="285" t="s">
        <v>182</v>
      </c>
      <c r="D40" s="136" t="s">
        <v>143</v>
      </c>
      <c r="E40" s="22">
        <v>23120</v>
      </c>
      <c r="F40" s="22" t="s">
        <v>150</v>
      </c>
      <c r="G40" s="22">
        <f>10.2</f>
        <v>10.199999999999999</v>
      </c>
      <c r="H40" s="164">
        <f>G40</f>
        <v>10.199999999999999</v>
      </c>
    </row>
    <row r="41" spans="1:8" s="12" customFormat="1" ht="32.25" customHeight="1" thickBot="1" x14ac:dyDescent="0.3">
      <c r="A41" s="81"/>
      <c r="C41" s="283" t="s">
        <v>101</v>
      </c>
      <c r="D41" s="206"/>
      <c r="E41" s="206"/>
      <c r="F41" s="206"/>
      <c r="G41" s="207"/>
      <c r="H41" s="73">
        <f>SUM(H36:H40)</f>
        <v>111.21000000000001</v>
      </c>
    </row>
    <row r="42" spans="1:8" ht="16.5" thickBot="1" x14ac:dyDescent="0.3">
      <c r="C42" s="284"/>
    </row>
    <row r="43" spans="1:8" s="13" customFormat="1" ht="24.95" customHeight="1" x14ac:dyDescent="0.25">
      <c r="A43" s="83" t="s">
        <v>108</v>
      </c>
      <c r="C43" s="270" t="s">
        <v>183</v>
      </c>
      <c r="D43" s="243" t="s">
        <v>134</v>
      </c>
      <c r="E43" s="144">
        <v>23110</v>
      </c>
      <c r="F43" s="78" t="s">
        <v>149</v>
      </c>
      <c r="G43" s="78">
        <v>9.44</v>
      </c>
      <c r="H43" s="229">
        <f>G43+G44</f>
        <v>87.75</v>
      </c>
    </row>
    <row r="44" spans="1:8" s="13" customFormat="1" ht="24.95" customHeight="1" thickBot="1" x14ac:dyDescent="0.3">
      <c r="A44" s="13" t="s">
        <v>109</v>
      </c>
      <c r="C44" s="269"/>
      <c r="D44" s="252"/>
      <c r="E44" s="25">
        <v>23010</v>
      </c>
      <c r="F44" s="24" t="s">
        <v>149</v>
      </c>
      <c r="G44" s="24">
        <f>1.66+39.2+37.45</f>
        <v>78.31</v>
      </c>
      <c r="H44" s="209"/>
    </row>
    <row r="45" spans="1:8" s="13" customFormat="1" ht="36.75" customHeight="1" thickTop="1" x14ac:dyDescent="0.25">
      <c r="A45" s="83" t="s">
        <v>25</v>
      </c>
      <c r="C45" s="262" t="s">
        <v>184</v>
      </c>
      <c r="D45" s="237" t="s">
        <v>134</v>
      </c>
      <c r="E45" s="175">
        <v>23120</v>
      </c>
      <c r="F45" s="107" t="s">
        <v>148</v>
      </c>
      <c r="G45" s="108">
        <f>20.4+6.46</f>
        <v>26.86</v>
      </c>
      <c r="H45" s="208">
        <f>G45+G46</f>
        <v>58.94</v>
      </c>
    </row>
    <row r="46" spans="1:8" s="13" customFormat="1" ht="36.75" customHeight="1" thickBot="1" x14ac:dyDescent="0.3">
      <c r="A46" s="83"/>
      <c r="C46" s="260"/>
      <c r="D46" s="246"/>
      <c r="E46" s="186"/>
      <c r="F46" s="163" t="s">
        <v>149</v>
      </c>
      <c r="G46" s="111">
        <v>32.08</v>
      </c>
      <c r="H46" s="209"/>
    </row>
    <row r="47" spans="1:8" s="12" customFormat="1" ht="32.25" customHeight="1" thickBot="1" x14ac:dyDescent="0.3">
      <c r="A47" s="81"/>
      <c r="C47" s="286" t="s">
        <v>102</v>
      </c>
      <c r="D47" s="231"/>
      <c r="E47" s="231"/>
      <c r="F47" s="231"/>
      <c r="G47" s="232"/>
      <c r="H47" s="131">
        <f>SUM(H43:H46)</f>
        <v>146.69</v>
      </c>
    </row>
    <row r="48" spans="1:8" ht="7.5" customHeight="1" thickBot="1" x14ac:dyDescent="0.3"/>
    <row r="49" spans="1:8" s="74" customFormat="1" ht="26.25" x14ac:dyDescent="0.4">
      <c r="A49" s="80"/>
      <c r="C49" s="218" t="s">
        <v>130</v>
      </c>
      <c r="D49" s="219"/>
      <c r="E49" s="219"/>
      <c r="F49" s="219"/>
      <c r="G49" s="220"/>
      <c r="H49" s="224">
        <f>H34+H41+H47</f>
        <v>1264.7950000000001</v>
      </c>
    </row>
    <row r="50" spans="1:8" s="74" customFormat="1" ht="15" customHeight="1" thickBot="1" x14ac:dyDescent="0.45">
      <c r="A50" s="80"/>
      <c r="C50" s="221"/>
      <c r="D50" s="222"/>
      <c r="E50" s="222"/>
      <c r="F50" s="222"/>
      <c r="G50" s="223"/>
      <c r="H50" s="225"/>
    </row>
  </sheetData>
  <mergeCells count="35">
    <mergeCell ref="C27:C30"/>
    <mergeCell ref="E27:E30"/>
    <mergeCell ref="H27:H30"/>
    <mergeCell ref="C11:C12"/>
    <mergeCell ref="D11:D12"/>
    <mergeCell ref="E11:E12"/>
    <mergeCell ref="H11:H12"/>
    <mergeCell ref="C34:G34"/>
    <mergeCell ref="C22:C25"/>
    <mergeCell ref="D22:D25"/>
    <mergeCell ref="E22:E25"/>
    <mergeCell ref="H22:H25"/>
    <mergeCell ref="C13:C14"/>
    <mergeCell ref="D13:D14"/>
    <mergeCell ref="E13:E14"/>
    <mergeCell ref="H13:H14"/>
    <mergeCell ref="C15:C20"/>
    <mergeCell ref="D15:D20"/>
    <mergeCell ref="E15:E18"/>
    <mergeCell ref="H15:H20"/>
    <mergeCell ref="E19:E20"/>
    <mergeCell ref="C49:G50"/>
    <mergeCell ref="H49:H50"/>
    <mergeCell ref="C36:C38"/>
    <mergeCell ref="H36:H38"/>
    <mergeCell ref="C41:G41"/>
    <mergeCell ref="C43:C44"/>
    <mergeCell ref="H43:H44"/>
    <mergeCell ref="C47:G47"/>
    <mergeCell ref="C45:C46"/>
    <mergeCell ref="D45:D46"/>
    <mergeCell ref="E45:E46"/>
    <mergeCell ref="H45:H46"/>
    <mergeCell ref="D43:D44"/>
    <mergeCell ref="D27:D30"/>
  </mergeCells>
  <pageMargins left="0.7" right="0.7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Dietes 30-04-2019</vt:lpstr>
      <vt:lpstr>Dietes OHB 30-04-2019</vt:lpstr>
      <vt:lpstr>Dietes IIAB 30-04-2019</vt:lpstr>
      <vt:lpstr>1r trim.</vt:lpstr>
      <vt:lpstr>2n. trim.</vt:lpstr>
      <vt:lpstr>3r. trim. </vt:lpstr>
      <vt:lpstr>4t. trim.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2019-12-20T12:21:06Z</cp:lastPrinted>
  <dcterms:created xsi:type="dcterms:W3CDTF">2015-07-06T06:20:07Z</dcterms:created>
  <dcterms:modified xsi:type="dcterms:W3CDTF">2021-02-11T13:18:27Z</dcterms:modified>
</cp:coreProperties>
</file>