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60429\Desktop\Archivos portal de transparència\Per pujar al portal\2021\Abril 2021\"/>
    </mc:Choice>
  </mc:AlternateContent>
  <bookViews>
    <workbookView xWindow="0" yWindow="-135" windowWidth="19185" windowHeight="3945" tabRatio="588"/>
  </bookViews>
  <sheets>
    <sheet name="Resum" sheetId="15" r:id="rId1"/>
    <sheet name="Cap. 3 Ing. vendes" sheetId="19" r:id="rId2"/>
    <sheet name="Cap. 4 Ing. Transf.corrents" sheetId="18" r:id="rId3"/>
    <sheet name="Cap. 5 i 8 Ing. pat" sheetId="17" r:id="rId4"/>
    <sheet name="Cap. 1 Desp. Personal" sheetId="16" r:id="rId5"/>
    <sheet name="Cap. 2 Desp.Corrents" sheetId="11" r:id="rId6"/>
    <sheet name="Cap. 3-4-6 Df, Tc, Inv" sheetId="20" r:id="rId7"/>
    <sheet name="Hoja1" sheetId="21" r:id="rId8"/>
  </sheets>
  <calcPr calcId="162913"/>
</workbook>
</file>

<file path=xl/calcChain.xml><?xml version="1.0" encoding="utf-8"?>
<calcChain xmlns="http://schemas.openxmlformats.org/spreadsheetml/2006/main">
  <c r="H63" i="15" l="1"/>
  <c r="H62" i="15" l="1"/>
  <c r="G81" i="15" l="1"/>
  <c r="G77" i="15"/>
  <c r="G73" i="15"/>
  <c r="I56" i="15"/>
  <c r="F55" i="15"/>
  <c r="I55" i="15" s="1"/>
  <c r="G85" i="15" l="1"/>
  <c r="G90" i="15" s="1"/>
  <c r="I63" i="15"/>
  <c r="G29" i="19" l="1"/>
  <c r="G21" i="19"/>
  <c r="G26" i="19"/>
  <c r="G24" i="11" l="1"/>
  <c r="G23" i="11"/>
  <c r="J29" i="20" l="1"/>
  <c r="G10" i="16" l="1"/>
  <c r="K26" i="19"/>
  <c r="K21" i="19"/>
  <c r="K14" i="19"/>
  <c r="J13" i="19"/>
  <c r="K19" i="18"/>
  <c r="I19" i="18"/>
  <c r="I22" i="18"/>
  <c r="I21" i="19"/>
  <c r="I29" i="19"/>
  <c r="I25" i="19"/>
  <c r="I26" i="19"/>
  <c r="K28" i="19"/>
  <c r="I28" i="19"/>
  <c r="K10" i="19"/>
  <c r="I10" i="19"/>
  <c r="I24" i="19"/>
  <c r="K23" i="19"/>
  <c r="I23" i="19"/>
  <c r="I11" i="19"/>
  <c r="I12" i="19"/>
  <c r="J12" i="19" s="1"/>
  <c r="I14" i="19"/>
  <c r="I21" i="18" l="1"/>
  <c r="K21" i="18"/>
  <c r="J14" i="19" l="1"/>
  <c r="I17" i="18" l="1"/>
  <c r="H12" i="19"/>
  <c r="L12" i="19" s="1"/>
  <c r="H13" i="19"/>
  <c r="L13" i="19" s="1"/>
  <c r="I7" i="11" l="1"/>
  <c r="K7" i="11"/>
  <c r="I27" i="20"/>
  <c r="K27" i="20"/>
  <c r="J21" i="11"/>
  <c r="J14" i="18"/>
  <c r="L14" i="18"/>
  <c r="H14" i="18"/>
  <c r="G12" i="18"/>
  <c r="I12" i="18"/>
  <c r="K12" i="18"/>
  <c r="F12" i="18"/>
  <c r="G9" i="19"/>
  <c r="J8" i="16" l="1"/>
  <c r="H24" i="18"/>
  <c r="L24" i="18" s="1"/>
  <c r="G20" i="18"/>
  <c r="I20" i="18"/>
  <c r="K22" i="18"/>
  <c r="K20" i="18" s="1"/>
  <c r="J24" i="18"/>
  <c r="J22" i="18" s="1"/>
  <c r="J9" i="18"/>
  <c r="J8" i="18" s="1"/>
  <c r="H9" i="18"/>
  <c r="H8" i="18" s="1"/>
  <c r="K8" i="18"/>
  <c r="I8" i="18"/>
  <c r="G8" i="18"/>
  <c r="F8" i="18"/>
  <c r="K25" i="19"/>
  <c r="K22" i="19" s="1"/>
  <c r="L9" i="18" l="1"/>
  <c r="L8" i="18" s="1"/>
  <c r="J13" i="11" l="1"/>
  <c r="J10" i="19" l="1"/>
  <c r="J14" i="11"/>
  <c r="J15" i="11"/>
  <c r="J16" i="11"/>
  <c r="J17" i="11"/>
  <c r="J18" i="11"/>
  <c r="J19" i="11"/>
  <c r="J20" i="11"/>
  <c r="J22" i="11"/>
  <c r="J23" i="11"/>
  <c r="J24" i="11"/>
  <c r="J25" i="11"/>
  <c r="J26" i="11"/>
  <c r="J27" i="11"/>
  <c r="J28" i="11"/>
  <c r="J29" i="11"/>
  <c r="J12" i="11"/>
  <c r="J11" i="11"/>
  <c r="H10" i="11"/>
  <c r="J10" i="11"/>
  <c r="L10" i="11"/>
  <c r="J8" i="19" l="1"/>
  <c r="K9" i="19"/>
  <c r="I9" i="19"/>
  <c r="J28" i="19"/>
  <c r="G22" i="19"/>
  <c r="I22" i="19"/>
  <c r="F22" i="19"/>
  <c r="I27" i="19"/>
  <c r="K27" i="19"/>
  <c r="F27" i="19"/>
  <c r="G27" i="19"/>
  <c r="J26" i="19"/>
  <c r="H26" i="19"/>
  <c r="J25" i="19"/>
  <c r="H25" i="19"/>
  <c r="J24" i="19"/>
  <c r="H24" i="19"/>
  <c r="L24" i="19" s="1"/>
  <c r="J23" i="19"/>
  <c r="H23" i="19"/>
  <c r="L23" i="19" s="1"/>
  <c r="J29" i="19"/>
  <c r="H29" i="19"/>
  <c r="H28" i="19"/>
  <c r="L28" i="19" s="1"/>
  <c r="K7" i="19" l="1"/>
  <c r="J27" i="19"/>
  <c r="L25" i="19"/>
  <c r="L26" i="19"/>
  <c r="I7" i="19"/>
  <c r="I3" i="19" s="1"/>
  <c r="G8" i="15" s="1"/>
  <c r="G7" i="19"/>
  <c r="G3" i="19" s="1"/>
  <c r="E8" i="15" s="1"/>
  <c r="L29" i="19"/>
  <c r="L27" i="19" s="1"/>
  <c r="J22" i="19"/>
  <c r="H22" i="19"/>
  <c r="H27" i="19"/>
  <c r="G27" i="20"/>
  <c r="G23" i="20" s="1"/>
  <c r="E24" i="15" s="1"/>
  <c r="I23" i="20"/>
  <c r="G24" i="15" s="1"/>
  <c r="K23" i="20"/>
  <c r="I24" i="15" s="1"/>
  <c r="H32" i="20"/>
  <c r="L32" i="20" s="1"/>
  <c r="J32" i="20"/>
  <c r="J31" i="20"/>
  <c r="J30" i="20"/>
  <c r="J28" i="20"/>
  <c r="H28" i="20"/>
  <c r="L28" i="20" s="1"/>
  <c r="J18" i="20"/>
  <c r="J17" i="20" s="1"/>
  <c r="J13" i="20" s="1"/>
  <c r="H23" i="15" s="1"/>
  <c r="H18" i="20"/>
  <c r="K17" i="20"/>
  <c r="K13" i="20" s="1"/>
  <c r="I23" i="15" s="1"/>
  <c r="I17" i="20"/>
  <c r="I13" i="20" s="1"/>
  <c r="G23" i="15" s="1"/>
  <c r="G17" i="20"/>
  <c r="G13" i="20" s="1"/>
  <c r="E23" i="15" s="1"/>
  <c r="J9" i="20"/>
  <c r="J8" i="20"/>
  <c r="K7" i="20"/>
  <c r="K3" i="20" s="1"/>
  <c r="I22" i="15" s="1"/>
  <c r="I7" i="20"/>
  <c r="I3" i="20" s="1"/>
  <c r="G22" i="15" s="1"/>
  <c r="G53" i="15" s="1"/>
  <c r="I53" i="15" s="1"/>
  <c r="G7" i="20"/>
  <c r="G3" i="20" s="1"/>
  <c r="E22" i="15" s="1"/>
  <c r="F17" i="20"/>
  <c r="F13" i="20" s="1"/>
  <c r="D23" i="15" s="1"/>
  <c r="H27" i="11"/>
  <c r="L27" i="11" s="1"/>
  <c r="H25" i="11"/>
  <c r="L25" i="11" s="1"/>
  <c r="H20" i="11"/>
  <c r="L20" i="11" s="1"/>
  <c r="H18" i="11"/>
  <c r="L18" i="11" s="1"/>
  <c r="H12" i="11"/>
  <c r="J9" i="11"/>
  <c r="H9" i="11"/>
  <c r="L9" i="11" s="1"/>
  <c r="J8" i="11"/>
  <c r="H8" i="11"/>
  <c r="L8" i="11" s="1"/>
  <c r="K3" i="11"/>
  <c r="I21" i="15" s="1"/>
  <c r="I3" i="11"/>
  <c r="G21" i="15" s="1"/>
  <c r="G7" i="11"/>
  <c r="G3" i="11" s="1"/>
  <c r="E21" i="15" s="1"/>
  <c r="H11" i="16"/>
  <c r="L11" i="16" s="1"/>
  <c r="H8" i="16"/>
  <c r="L8" i="16" s="1"/>
  <c r="J15" i="16"/>
  <c r="J14" i="16"/>
  <c r="J13" i="16"/>
  <c r="J12" i="16"/>
  <c r="J11" i="16"/>
  <c r="J10" i="16"/>
  <c r="J9" i="16"/>
  <c r="K7" i="16"/>
  <c r="K3" i="16" s="1"/>
  <c r="I20" i="15" s="1"/>
  <c r="I7" i="16"/>
  <c r="I3" i="16" s="1"/>
  <c r="G20" i="15" s="1"/>
  <c r="G52" i="15" s="1"/>
  <c r="G54" i="15" s="1"/>
  <c r="G58" i="15" s="1"/>
  <c r="G7" i="16"/>
  <c r="G3" i="16" s="1"/>
  <c r="E20" i="15" s="1"/>
  <c r="F14" i="17"/>
  <c r="D11" i="15" s="1"/>
  <c r="F19" i="17"/>
  <c r="F18" i="17" s="1"/>
  <c r="J20" i="17"/>
  <c r="J19" i="17" s="1"/>
  <c r="J18" i="17" s="1"/>
  <c r="J14" i="17" s="1"/>
  <c r="H11" i="15" s="1"/>
  <c r="H20" i="17"/>
  <c r="H19" i="17" s="1"/>
  <c r="H18" i="17" s="1"/>
  <c r="H14" i="17" s="1"/>
  <c r="F11" i="15" s="1"/>
  <c r="K19" i="17"/>
  <c r="K18" i="17" s="1"/>
  <c r="K14" i="17" s="1"/>
  <c r="I11" i="15" s="1"/>
  <c r="I19" i="17"/>
  <c r="I18" i="17" s="1"/>
  <c r="I14" i="17" s="1"/>
  <c r="G11" i="15" s="1"/>
  <c r="G19" i="17"/>
  <c r="G18" i="17" s="1"/>
  <c r="G14" i="17" s="1"/>
  <c r="E11" i="15" s="1"/>
  <c r="J9" i="17"/>
  <c r="J8" i="17" s="1"/>
  <c r="J7" i="17" s="1"/>
  <c r="J3" i="17" s="1"/>
  <c r="H10" i="15" s="1"/>
  <c r="H9" i="17"/>
  <c r="H8" i="17" s="1"/>
  <c r="H7" i="17" s="1"/>
  <c r="H3" i="17" s="1"/>
  <c r="F10" i="15" s="1"/>
  <c r="K8" i="17"/>
  <c r="K7" i="17" s="1"/>
  <c r="K3" i="17" s="1"/>
  <c r="I10" i="15" s="1"/>
  <c r="I8" i="17"/>
  <c r="G8" i="17"/>
  <c r="G7" i="17" s="1"/>
  <c r="G3" i="17" s="1"/>
  <c r="E10" i="15" s="1"/>
  <c r="I7" i="17"/>
  <c r="I3" i="17" s="1"/>
  <c r="G10" i="15" s="1"/>
  <c r="H21" i="18"/>
  <c r="H18" i="18"/>
  <c r="L18" i="18" s="1"/>
  <c r="H16" i="18"/>
  <c r="L16" i="18" s="1"/>
  <c r="L15" i="18" s="1"/>
  <c r="H13" i="18"/>
  <c r="J21" i="18"/>
  <c r="J20" i="18" s="1"/>
  <c r="J19" i="18"/>
  <c r="K17" i="18"/>
  <c r="K7" i="18" s="1"/>
  <c r="G17" i="18"/>
  <c r="J16" i="18"/>
  <c r="J15" i="18" s="1"/>
  <c r="K15" i="18"/>
  <c r="I15" i="18"/>
  <c r="H15" i="18"/>
  <c r="G15" i="18"/>
  <c r="J13" i="18"/>
  <c r="J12" i="18" s="1"/>
  <c r="J11" i="18"/>
  <c r="H11" i="18"/>
  <c r="H10" i="18" s="1"/>
  <c r="K10" i="18"/>
  <c r="J10" i="18"/>
  <c r="I10" i="18"/>
  <c r="G10" i="18"/>
  <c r="G7" i="18" s="1"/>
  <c r="G3" i="18" s="1"/>
  <c r="E9" i="15" s="1"/>
  <c r="J21" i="19"/>
  <c r="J20" i="19"/>
  <c r="H20" i="19"/>
  <c r="J19" i="19"/>
  <c r="H19" i="19"/>
  <c r="L19" i="19" s="1"/>
  <c r="J18" i="19"/>
  <c r="J17" i="19"/>
  <c r="H17" i="19"/>
  <c r="L17" i="19" s="1"/>
  <c r="J16" i="19"/>
  <c r="H16" i="19"/>
  <c r="L16" i="19" s="1"/>
  <c r="J15" i="19"/>
  <c r="H15" i="19"/>
  <c r="L15" i="19" s="1"/>
  <c r="J11" i="19"/>
  <c r="H11" i="19"/>
  <c r="H8" i="19"/>
  <c r="L8" i="19" s="1"/>
  <c r="L13" i="18" l="1"/>
  <c r="L12" i="18" s="1"/>
  <c r="H12" i="18"/>
  <c r="J9" i="19"/>
  <c r="L11" i="18"/>
  <c r="L10" i="18" s="1"/>
  <c r="L21" i="18"/>
  <c r="H17" i="20"/>
  <c r="H13" i="20" s="1"/>
  <c r="F23" i="15" s="1"/>
  <c r="L18" i="20"/>
  <c r="K3" i="18"/>
  <c r="I9" i="15" s="1"/>
  <c r="L22" i="19"/>
  <c r="L11" i="19"/>
  <c r="L12" i="11"/>
  <c r="J27" i="20"/>
  <c r="J23" i="20" s="1"/>
  <c r="H24" i="15" s="1"/>
  <c r="J7" i="11"/>
  <c r="J3" i="11" s="1"/>
  <c r="H21" i="15" s="1"/>
  <c r="L20" i="19"/>
  <c r="L17" i="20"/>
  <c r="L13" i="20" s="1"/>
  <c r="J23" i="15" s="1"/>
  <c r="J7" i="20"/>
  <c r="J3" i="20" s="1"/>
  <c r="H22" i="15" s="1"/>
  <c r="J7" i="16"/>
  <c r="J3" i="16" s="1"/>
  <c r="H20" i="15" s="1"/>
  <c r="L20" i="17"/>
  <c r="L19" i="17" s="1"/>
  <c r="L18" i="17" s="1"/>
  <c r="L14" i="17" s="1"/>
  <c r="J11" i="15" s="1"/>
  <c r="L9" i="17"/>
  <c r="L8" i="17" s="1"/>
  <c r="L7" i="17" s="1"/>
  <c r="L3" i="17" s="1"/>
  <c r="J10" i="15" s="1"/>
  <c r="J18" i="18"/>
  <c r="J17" i="18" s="1"/>
  <c r="J7" i="18" s="1"/>
  <c r="J3" i="18" s="1"/>
  <c r="H9" i="15" s="1"/>
  <c r="K3" i="19"/>
  <c r="I8" i="15" s="1"/>
  <c r="E26" i="15"/>
  <c r="G26" i="15"/>
  <c r="I26" i="15"/>
  <c r="F31" i="20"/>
  <c r="H31" i="20" s="1"/>
  <c r="L31" i="20" s="1"/>
  <c r="F30" i="20"/>
  <c r="H30" i="20" s="1"/>
  <c r="L30" i="20" s="1"/>
  <c r="F29" i="20"/>
  <c r="I13" i="15" l="1"/>
  <c r="F27" i="20"/>
  <c r="F23" i="20" s="1"/>
  <c r="H29" i="20"/>
  <c r="J7" i="19"/>
  <c r="J3" i="19" s="1"/>
  <c r="H8" i="15" s="1"/>
  <c r="H13" i="15" s="1"/>
  <c r="I7" i="18"/>
  <c r="I3" i="18" s="1"/>
  <c r="G9" i="15" s="1"/>
  <c r="H26" i="15"/>
  <c r="F9" i="20"/>
  <c r="H9" i="20" s="1"/>
  <c r="F8" i="20"/>
  <c r="H8" i="20" s="1"/>
  <c r="F29" i="11"/>
  <c r="H29" i="11" s="1"/>
  <c r="L29" i="11" s="1"/>
  <c r="F28" i="11"/>
  <c r="H28" i="11" s="1"/>
  <c r="L28" i="11" s="1"/>
  <c r="F26" i="11"/>
  <c r="H26" i="11" s="1"/>
  <c r="L26" i="11" s="1"/>
  <c r="F24" i="11"/>
  <c r="H24" i="11" s="1"/>
  <c r="L24" i="11" s="1"/>
  <c r="F23" i="11"/>
  <c r="H23" i="11" s="1"/>
  <c r="L23" i="11" s="1"/>
  <c r="F22" i="11"/>
  <c r="H22" i="11" s="1"/>
  <c r="L22" i="11" s="1"/>
  <c r="F21" i="11"/>
  <c r="H21" i="11" s="1"/>
  <c r="L21" i="11" s="1"/>
  <c r="F19" i="11"/>
  <c r="H19" i="11" s="1"/>
  <c r="L19" i="11" s="1"/>
  <c r="F17" i="11"/>
  <c r="H17" i="11" s="1"/>
  <c r="L17" i="11" s="1"/>
  <c r="F16" i="11"/>
  <c r="H16" i="11" s="1"/>
  <c r="L16" i="11" s="1"/>
  <c r="F15" i="11"/>
  <c r="H15" i="11" s="1"/>
  <c r="L15" i="11" s="1"/>
  <c r="F14" i="11"/>
  <c r="H14" i="11" s="1"/>
  <c r="L14" i="11" s="1"/>
  <c r="F13" i="11"/>
  <c r="F11" i="11"/>
  <c r="H11" i="11" s="1"/>
  <c r="F15" i="16"/>
  <c r="H15" i="16" s="1"/>
  <c r="L15" i="16" s="1"/>
  <c r="F14" i="16"/>
  <c r="H14" i="16" s="1"/>
  <c r="L14" i="16" s="1"/>
  <c r="F13" i="16"/>
  <c r="H13" i="16" s="1"/>
  <c r="L13" i="16" s="1"/>
  <c r="F12" i="16"/>
  <c r="H12" i="16" s="1"/>
  <c r="L12" i="16" s="1"/>
  <c r="F10" i="16"/>
  <c r="H10" i="16" s="1"/>
  <c r="L10" i="16" s="1"/>
  <c r="F9" i="16"/>
  <c r="H9" i="16" s="1"/>
  <c r="F10" i="19"/>
  <c r="F21" i="19"/>
  <c r="H21" i="19" s="1"/>
  <c r="G13" i="15" l="1"/>
  <c r="F52" i="15"/>
  <c r="L9" i="20"/>
  <c r="L11" i="11"/>
  <c r="F7" i="11"/>
  <c r="H13" i="11"/>
  <c r="L13" i="11" s="1"/>
  <c r="H10" i="19"/>
  <c r="L10" i="19" s="1"/>
  <c r="L9" i="16"/>
  <c r="H7" i="16"/>
  <c r="L29" i="20"/>
  <c r="L27" i="20" s="1"/>
  <c r="L23" i="20" s="1"/>
  <c r="J24" i="15" s="1"/>
  <c r="H27" i="20"/>
  <c r="H23" i="20" s="1"/>
  <c r="F24" i="15" s="1"/>
  <c r="H7" i="20"/>
  <c r="H3" i="20" s="1"/>
  <c r="F22" i="15" s="1"/>
  <c r="L8" i="20"/>
  <c r="L7" i="20" s="1"/>
  <c r="L3" i="20" s="1"/>
  <c r="J22" i="15" s="1"/>
  <c r="L21" i="19"/>
  <c r="F18" i="19"/>
  <c r="H18" i="19" s="1"/>
  <c r="L18" i="19" s="1"/>
  <c r="F54" i="15" l="1"/>
  <c r="I52" i="15"/>
  <c r="H7" i="11"/>
  <c r="H3" i="11" s="1"/>
  <c r="F21" i="15" s="1"/>
  <c r="L7" i="11"/>
  <c r="L3" i="11" s="1"/>
  <c r="J21" i="15" s="1"/>
  <c r="F22" i="18"/>
  <c r="F19" i="18"/>
  <c r="H19" i="18" s="1"/>
  <c r="F14" i="19"/>
  <c r="F9" i="19" s="1"/>
  <c r="F7" i="19" s="1"/>
  <c r="D24" i="15"/>
  <c r="F7" i="16"/>
  <c r="F7" i="20"/>
  <c r="F3" i="20" s="1"/>
  <c r="D22" i="15" s="1"/>
  <c r="F3" i="11"/>
  <c r="D21" i="15" s="1"/>
  <c r="F8" i="17"/>
  <c r="F7" i="17" s="1"/>
  <c r="F3" i="17" s="1"/>
  <c r="D10" i="15" s="1"/>
  <c r="F15" i="18"/>
  <c r="F10" i="18"/>
  <c r="F58" i="15" l="1"/>
  <c r="I58" i="15" s="1"/>
  <c r="I65" i="15" s="1"/>
  <c r="I54" i="15"/>
  <c r="H17" i="18"/>
  <c r="L19" i="18"/>
  <c r="L17" i="18" s="1"/>
  <c r="F20" i="18"/>
  <c r="H22" i="18"/>
  <c r="F17" i="18"/>
  <c r="F7" i="18" s="1"/>
  <c r="F3" i="18" s="1"/>
  <c r="D9" i="15" s="1"/>
  <c r="F3" i="19"/>
  <c r="D8" i="15" s="1"/>
  <c r="H14" i="19"/>
  <c r="H9" i="19" s="1"/>
  <c r="H7" i="19" s="1"/>
  <c r="F3" i="16"/>
  <c r="D20" i="15" s="1"/>
  <c r="D26" i="15" s="1"/>
  <c r="D13" i="15" l="1"/>
  <c r="L22" i="18"/>
  <c r="L20" i="18" s="1"/>
  <c r="L7" i="18" s="1"/>
  <c r="L3" i="18" s="1"/>
  <c r="J9" i="15" s="1"/>
  <c r="H20" i="18"/>
  <c r="H7" i="18"/>
  <c r="H3" i="18" s="1"/>
  <c r="F9" i="15" s="1"/>
  <c r="L14" i="19"/>
  <c r="L9" i="19" s="1"/>
  <c r="H3" i="19"/>
  <c r="F8" i="15" s="1"/>
  <c r="F13" i="15" s="1"/>
  <c r="L7" i="16"/>
  <c r="L3" i="16" s="1"/>
  <c r="J20" i="15" s="1"/>
  <c r="J26" i="15" s="1"/>
  <c r="H3" i="16"/>
  <c r="F20" i="15" s="1"/>
  <c r="F26" i="15" s="1"/>
  <c r="E13" i="15" l="1"/>
  <c r="L7" i="19" l="1"/>
  <c r="L3" i="19" s="1"/>
  <c r="J8" i="15" s="1"/>
  <c r="J13" i="15" s="1"/>
</calcChain>
</file>

<file path=xl/sharedStrings.xml><?xml version="1.0" encoding="utf-8"?>
<sst xmlns="http://schemas.openxmlformats.org/spreadsheetml/2006/main" count="328" uniqueCount="197">
  <si>
    <t>Diputació de Barcelona</t>
  </si>
  <si>
    <t>Àrea Metropolitana de Barcelona</t>
  </si>
  <si>
    <t>Seguretat Social</t>
  </si>
  <si>
    <t>Descripció</t>
  </si>
  <si>
    <t>Venda de publicacions</t>
  </si>
  <si>
    <t>Departament d'Empresa i Ocupació (Gencat)</t>
  </si>
  <si>
    <t>Ajuntament de Barcelona</t>
  </si>
  <si>
    <t>Universitat Autònoma de Barcelona</t>
  </si>
  <si>
    <t>Personal fix. Retribucions bàsiques</t>
  </si>
  <si>
    <t>Despeses postals, missatgeria i altres similars</t>
  </si>
  <si>
    <t>22201</t>
  </si>
  <si>
    <t>13000</t>
  </si>
  <si>
    <t>16000</t>
  </si>
  <si>
    <t>16200</t>
  </si>
  <si>
    <t>Formació i perfeccionament</t>
  </si>
  <si>
    <t>Arrendaments de maquinaria, instal·lacions i utillatge</t>
  </si>
  <si>
    <t>20200</t>
  </si>
  <si>
    <t>20300</t>
  </si>
  <si>
    <t>22002</t>
  </si>
  <si>
    <t>Material informàtic no inventariable</t>
  </si>
  <si>
    <t>Material oficina ordinari no inventariable</t>
  </si>
  <si>
    <t>22000</t>
  </si>
  <si>
    <t>22400</t>
  </si>
  <si>
    <t>22603</t>
  </si>
  <si>
    <t>22706</t>
  </si>
  <si>
    <t>Dietes personal directiu</t>
  </si>
  <si>
    <t>Dietes personal no directiu</t>
  </si>
  <si>
    <t>22799</t>
  </si>
  <si>
    <t>24000</t>
  </si>
  <si>
    <t>Locomoció personal directiu</t>
  </si>
  <si>
    <t>Locomoció personal no directiu</t>
  </si>
  <si>
    <t>22602</t>
  </si>
  <si>
    <t>Publicitat - serveis web/intranet</t>
  </si>
  <si>
    <t>23110</t>
  </si>
  <si>
    <t>23120</t>
  </si>
  <si>
    <t>23010</t>
  </si>
  <si>
    <t>23020</t>
  </si>
  <si>
    <t>22200</t>
  </si>
  <si>
    <t>Reunions, conferències i cursos</t>
  </si>
  <si>
    <t>22606</t>
  </si>
  <si>
    <t>63500</t>
  </si>
  <si>
    <t>63600</t>
  </si>
  <si>
    <t>63900</t>
  </si>
  <si>
    <t>64100</t>
  </si>
  <si>
    <t>PREVISIÓ ESTAT D'INGRESSOS:</t>
  </si>
  <si>
    <t xml:space="preserve">CAPÍTOL 2: Despeses corrents de béns i serveis </t>
  </si>
  <si>
    <t xml:space="preserve">CAPÍTOL 3: Despeses financeres </t>
  </si>
  <si>
    <t xml:space="preserve">Capítol  </t>
  </si>
  <si>
    <t>ATM</t>
  </si>
  <si>
    <t xml:space="preserve">Aportació Institucional </t>
  </si>
  <si>
    <t>Aportació Institucional</t>
  </si>
  <si>
    <t>22699</t>
  </si>
  <si>
    <t>Altres despeses diverses</t>
  </si>
  <si>
    <t>10100</t>
  </si>
  <si>
    <t>Alts càrrecs. Retribucions bàsiques</t>
  </si>
  <si>
    <t xml:space="preserve">Transferències corrents </t>
  </si>
  <si>
    <t>Ingressos patrimonials</t>
  </si>
  <si>
    <t>TOTAL PREVISIÓ ESTAT D'INGRESSOS</t>
  </si>
  <si>
    <t>Despeses corrents de béns i serveis</t>
  </si>
  <si>
    <t>Despeses financeres</t>
  </si>
  <si>
    <t>Inversions reals</t>
  </si>
  <si>
    <t>TOTAL PREVISIÓ ESTAT DE DESPESES</t>
  </si>
  <si>
    <t>Capítol  /  Concepte</t>
  </si>
  <si>
    <t>CAPÍTOL 5: Ingressos patrimonials</t>
  </si>
  <si>
    <t>Programa</t>
  </si>
  <si>
    <t>Capítol / concepte</t>
  </si>
  <si>
    <t>Investigació</t>
  </si>
  <si>
    <t>Innovació</t>
  </si>
  <si>
    <t>31000</t>
  </si>
  <si>
    <t>Altres despeses financeres</t>
  </si>
  <si>
    <t>Altres remuneracions. Indemnitzacions</t>
  </si>
  <si>
    <t>Enquesta de Mobilitat en dia Feiner (EMEF)</t>
  </si>
  <si>
    <t>13100</t>
  </si>
  <si>
    <t>Personal temporal. Retribucions bàsiques</t>
  </si>
  <si>
    <t>13101</t>
  </si>
  <si>
    <t>16209</t>
  </si>
  <si>
    <t>Despeses socials</t>
  </si>
  <si>
    <t>Altres estudis o activitats</t>
  </si>
  <si>
    <t>Varis</t>
  </si>
  <si>
    <t>22001</t>
  </si>
  <si>
    <t>Premsa, revistes, llibres i altres publicacions</t>
  </si>
  <si>
    <t>Global Entrepreneurship Monitor Catalunya</t>
  </si>
  <si>
    <t xml:space="preserve">Pressupost </t>
  </si>
  <si>
    <t>Pressupost</t>
  </si>
  <si>
    <t>Desenvolupament</t>
  </si>
  <si>
    <t xml:space="preserve">   Descripció</t>
  </si>
  <si>
    <t>Taxes, preus públics i altres ingressos</t>
  </si>
  <si>
    <t>Despeses de Personal</t>
  </si>
  <si>
    <t>Altres ingressos diversos</t>
  </si>
  <si>
    <t>Interessos de dipòsits</t>
  </si>
  <si>
    <t>Despeses corrents en béns i serveis</t>
  </si>
  <si>
    <t>Arrendaments d'edificis i altres construccions</t>
  </si>
  <si>
    <t>Servei de telecomunicacions</t>
  </si>
  <si>
    <t>Primes d'assegurances</t>
  </si>
  <si>
    <t>Publicació en diaris oficials</t>
  </si>
  <si>
    <t>Interessos de préstecs d'ens de fora del Sector Públic</t>
  </si>
  <si>
    <t xml:space="preserve">Mobiliari </t>
  </si>
  <si>
    <t>Equips per a processos d'informació</t>
  </si>
  <si>
    <t>Altre immobilitzat material</t>
  </si>
  <si>
    <t>Aplicacions informàtiques</t>
  </si>
  <si>
    <t xml:space="preserve">CAPÍTOL 6: Inversions reals </t>
  </si>
  <si>
    <t>CAPÍTOL 1: Despeses de personal</t>
  </si>
  <si>
    <t xml:space="preserve">CAPÍTOL 4: Transferències corrents </t>
  </si>
  <si>
    <t>CAPÍTOL 3: Taxes, preus públics i altres ingressos</t>
  </si>
  <si>
    <t xml:space="preserve">Contracte Programa </t>
  </si>
  <si>
    <t>Ajuntament BCN</t>
  </si>
  <si>
    <t>Contracte Programa Àrea Drets Socials</t>
  </si>
  <si>
    <t>14300</t>
  </si>
  <si>
    <t>Sous personal eventual (en pràctiques)</t>
  </si>
  <si>
    <t>21300</t>
  </si>
  <si>
    <t>Reparacions, manteniment i conservació. Maquinària, instal·lacions</t>
  </si>
  <si>
    <t>Sinèrgia Energia i Territori</t>
  </si>
  <si>
    <t>Universitat de Barcelona</t>
  </si>
  <si>
    <t>Explotació mostra municipal EVAMB 2020</t>
  </si>
  <si>
    <t>Explotació mostra municipal ECAMB 2020</t>
  </si>
  <si>
    <t>Contracte Programa Direcció Serveis de Prevenció</t>
  </si>
  <si>
    <t>Estudis i treballs tècnics</t>
  </si>
  <si>
    <t>Treballs realitzats per persones físiques o jurídiques</t>
  </si>
  <si>
    <t>Despeses de publicacions</t>
  </si>
  <si>
    <t>AMB</t>
  </si>
  <si>
    <t>Ajuntament BCN (IMHAB)</t>
  </si>
  <si>
    <t>Xifres habitatge</t>
  </si>
  <si>
    <t>* Aquesta encomana de gestió vehicula les aportacions de la pròpia AMB (25%), de la Diputació de BCN (25%) i de la Generalitat de Catalunya (25%)</t>
  </si>
  <si>
    <t>21600</t>
  </si>
  <si>
    <t>63300</t>
  </si>
  <si>
    <t>Maquinaria, instal·lacions tècniques i utillatge</t>
  </si>
  <si>
    <t>Encomana de gestió Pla de Treball OHB 2020 (75%)*</t>
  </si>
  <si>
    <t>Encomana de gestió Pla de Treball OHB 2020 (25%)</t>
  </si>
  <si>
    <t>PREVISIÓ ESTAT DE DESPESES: Programa: 462</t>
  </si>
  <si>
    <t>Modificació crèdit</t>
  </si>
  <si>
    <t>Pressupost              actual</t>
  </si>
  <si>
    <t>Deutors</t>
  </si>
  <si>
    <t>Ingressos (cobrat)</t>
  </si>
  <si>
    <t>Saldo</t>
  </si>
  <si>
    <t>Creditors</t>
  </si>
  <si>
    <t>Depeses (pagat)</t>
  </si>
  <si>
    <t>Actius financers</t>
  </si>
  <si>
    <t>Transferències corrents</t>
  </si>
  <si>
    <t>CAPÍTOL 8: Actius Financers</t>
  </si>
  <si>
    <t>Actius Financers</t>
  </si>
  <si>
    <t>Romanent de Tresoreria amb despesa afectada</t>
  </si>
  <si>
    <t>CAPÍTOL 4: Transferències corrents</t>
  </si>
  <si>
    <t>46700</t>
  </si>
  <si>
    <t>A Consorcis</t>
  </si>
  <si>
    <t>Altres ingressos diversos IIAB</t>
  </si>
  <si>
    <t>Altres ingressos diversos OHB</t>
  </si>
  <si>
    <t>20600</t>
  </si>
  <si>
    <t>Arrendaments d'equips per a processos d'informació</t>
  </si>
  <si>
    <t>Altres transferències corrents de l'Administració General</t>
  </si>
  <si>
    <t xml:space="preserve">Bio-Landscape </t>
  </si>
  <si>
    <t>- ECV 2019</t>
  </si>
  <si>
    <t>EGETECO</t>
  </si>
  <si>
    <t>Encomana de gestió Suport PMMU</t>
  </si>
  <si>
    <t>Encomana de gestió EAU-AMB 2020</t>
  </si>
  <si>
    <t>Drets reconeguts 31/12/2020</t>
  </si>
  <si>
    <t>Obligacions reconegudes 31/12/2020</t>
  </si>
  <si>
    <t>AMB- Ajuntament Hospitalet de Llobregat</t>
  </si>
  <si>
    <t>AMB- Ajuntament El Prat de Llobregat</t>
  </si>
  <si>
    <t>Reparacions, manteniment i conservació. Equips per a processos inf.</t>
  </si>
  <si>
    <t>RESULTAT PRESSUPOSTARI</t>
  </si>
  <si>
    <t>Concepte</t>
  </si>
  <si>
    <t xml:space="preserve">Drets  </t>
  </si>
  <si>
    <t>Obligacions</t>
  </si>
  <si>
    <t>Ajustos</t>
  </si>
  <si>
    <t xml:space="preserve">Resultat </t>
  </si>
  <si>
    <t>reconeguts</t>
  </si>
  <si>
    <t>reconegudes</t>
  </si>
  <si>
    <t>pressupostari</t>
  </si>
  <si>
    <t xml:space="preserve">     a) Operacions corrents</t>
  </si>
  <si>
    <t xml:space="preserve">     b) Altres operacions no financeres</t>
  </si>
  <si>
    <t>1. Total operacions no financeres (a+b)</t>
  </si>
  <si>
    <t>2. Actius financers</t>
  </si>
  <si>
    <t>3. Passius Financers</t>
  </si>
  <si>
    <t>RESULTAT PRESSUPOSTARI DE L'EXERCICI</t>
  </si>
  <si>
    <t>4. (+) Crèdits gastats finançats  amb romanent de tresoreria per a despeses generals</t>
  </si>
  <si>
    <t>5. (+) Desviacions de finançament negatives de l'exercici</t>
  </si>
  <si>
    <t>6. (-) Desviacions de finançament positives de l'exercici</t>
  </si>
  <si>
    <t>RESULTAT PRESSUPOSTARI AJUSTAT</t>
  </si>
  <si>
    <t>ROMANENT DE TRESORERIA</t>
  </si>
  <si>
    <t>Component</t>
  </si>
  <si>
    <t>Total</t>
  </si>
  <si>
    <t>1. (+) Fons líquids</t>
  </si>
  <si>
    <t>2. (+) Drets pendents de cobrament</t>
  </si>
  <si>
    <t xml:space="preserve">           '- (+) del pressupost corrent</t>
  </si>
  <si>
    <t xml:space="preserve">           '- (+) de pressupostos tancats</t>
  </si>
  <si>
    <t xml:space="preserve">           '- (+) d'operacions no pressupostàries</t>
  </si>
  <si>
    <t>3. (+) Obligacions pendents de pagament</t>
  </si>
  <si>
    <t>4.Partides pendents d'aplicació</t>
  </si>
  <si>
    <t xml:space="preserve">           '- (-) cobraments realitzats pendents d'aplicació definitiva</t>
  </si>
  <si>
    <t xml:space="preserve">           '- (+) pagaments realitzats pendents d'aplicació definitiva</t>
  </si>
  <si>
    <t>I. Romanent de tresoreria total (1+2-3)</t>
  </si>
  <si>
    <t>II. Saldos de dubtós cobrament</t>
  </si>
  <si>
    <t>III. Excés de finançament afectat</t>
  </si>
  <si>
    <t>IV. Romanent de tresoreria per a despeses generals (I-II-III)</t>
  </si>
  <si>
    <t>Desp. Ant. 2021: 13.082,73 € / Ing.ant. 2020: 308.218,64 €</t>
  </si>
  <si>
    <t>Ing. Ant. 2021: 354.300,64 €   / Prev. Ing. 2019: 43.323,69 €</t>
  </si>
  <si>
    <t>LIQUIDACIÓ DE  PRESSUPOST IERMB 2020                                                                             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</si>
</sst>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.00;\-#,###,##0.00;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color indexed="8"/>
      <name val="Calibri"/>
      <family val="2"/>
    </font>
    <font>
      <sz val="10"/>
      <color rgb="FFFF0000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b/>
      <sz val="14"/>
      <color indexed="8"/>
      <name val="Calibri"/>
      <family val="2"/>
    </font>
    <font>
      <sz val="14"/>
      <color theme="1"/>
      <name val="Calibri"/>
      <family val="2"/>
      <scheme val="minor"/>
    </font>
    <font>
      <u/>
      <sz val="11"/>
      <color indexed="8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216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Fill="1"/>
    <xf numFmtId="0" fontId="1" fillId="0" borderId="0" xfId="0" applyFont="1" applyFill="1"/>
    <xf numFmtId="0" fontId="0" fillId="0" borderId="0" xfId="0" applyBorder="1"/>
    <xf numFmtId="1" fontId="0" fillId="0" borderId="0" xfId="0" applyNumberFormat="1" applyFill="1" applyAlignment="1">
      <alignment horizontal="right"/>
    </xf>
    <xf numFmtId="4" fontId="2" fillId="0" borderId="0" xfId="0" applyNumberFormat="1" applyFont="1" applyAlignment="1">
      <alignment horizontal="left"/>
    </xf>
    <xf numFmtId="49" fontId="0" fillId="0" borderId="2" xfId="0" applyNumberFormat="1" applyBorder="1" applyAlignment="1">
      <alignment horizontal="right"/>
    </xf>
    <xf numFmtId="0" fontId="0" fillId="0" borderId="2" xfId="0" applyFont="1" applyBorder="1"/>
    <xf numFmtId="0" fontId="0" fillId="0" borderId="2" xfId="0" applyBorder="1"/>
    <xf numFmtId="0" fontId="5" fillId="0" borderId="2" xfId="0" applyFont="1" applyBorder="1"/>
    <xf numFmtId="0" fontId="0" fillId="0" borderId="0" xfId="0" applyFill="1" applyAlignment="1">
      <alignment horizontal="right"/>
    </xf>
    <xf numFmtId="4" fontId="5" fillId="0" borderId="2" xfId="0" applyNumberFormat="1" applyFont="1" applyFill="1" applyBorder="1" applyAlignment="1">
      <alignment horizontal="right"/>
    </xf>
    <xf numFmtId="0" fontId="2" fillId="0" borderId="7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6" xfId="0" applyFont="1" applyBorder="1"/>
    <xf numFmtId="4" fontId="3" fillId="0" borderId="6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left"/>
    </xf>
    <xf numFmtId="0" fontId="8" fillId="0" borderId="0" xfId="0" applyFont="1"/>
    <xf numFmtId="4" fontId="0" fillId="0" borderId="2" xfId="0" applyNumberFormat="1" applyBorder="1"/>
    <xf numFmtId="0" fontId="0" fillId="0" borderId="2" xfId="0" applyFont="1" applyFill="1" applyBorder="1"/>
    <xf numFmtId="0" fontId="5" fillId="0" borderId="2" xfId="0" applyFont="1" applyFill="1" applyBorder="1"/>
    <xf numFmtId="0" fontId="10" fillId="0" borderId="0" xfId="0" applyFont="1" applyFill="1" applyBorder="1"/>
    <xf numFmtId="0" fontId="0" fillId="0" borderId="2" xfId="0" applyFill="1" applyBorder="1"/>
    <xf numFmtId="4" fontId="11" fillId="0" borderId="6" xfId="0" applyNumberFormat="1" applyFont="1" applyBorder="1"/>
    <xf numFmtId="0" fontId="0" fillId="0" borderId="0" xfId="0" applyFont="1"/>
    <xf numFmtId="4" fontId="0" fillId="0" borderId="0" xfId="0" applyNumberFormat="1"/>
    <xf numFmtId="0" fontId="4" fillId="0" borderId="0" xfId="0" applyFont="1" applyFill="1"/>
    <xf numFmtId="4" fontId="1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right"/>
    </xf>
    <xf numFmtId="0" fontId="2" fillId="0" borderId="0" xfId="0" applyFont="1"/>
    <xf numFmtId="0" fontId="1" fillId="0" borderId="0" xfId="0" applyFont="1" applyAlignment="1">
      <alignment vertical="center" wrapText="1"/>
    </xf>
    <xf numFmtId="1" fontId="0" fillId="0" borderId="8" xfId="0" quotePrefix="1" applyNumberFormat="1" applyFont="1" applyFill="1" applyBorder="1" applyAlignment="1">
      <alignment horizontal="center"/>
    </xf>
    <xf numFmtId="0" fontId="0" fillId="0" borderId="8" xfId="0" applyFont="1" applyFill="1" applyBorder="1"/>
    <xf numFmtId="4" fontId="0" fillId="0" borderId="12" xfId="0" applyNumberFormat="1" applyFont="1" applyFill="1" applyBorder="1"/>
    <xf numFmtId="0" fontId="0" fillId="0" borderId="8" xfId="0" applyFill="1" applyBorder="1"/>
    <xf numFmtId="3" fontId="13" fillId="3" borderId="8" xfId="0" applyNumberFormat="1" applyFont="1" applyFill="1" applyBorder="1" applyAlignment="1">
      <alignment horizontal="left"/>
    </xf>
    <xf numFmtId="0" fontId="17" fillId="3" borderId="8" xfId="0" applyFont="1" applyFill="1" applyBorder="1"/>
    <xf numFmtId="4" fontId="13" fillId="3" borderId="8" xfId="0" applyNumberFormat="1" applyFont="1" applyFill="1" applyBorder="1"/>
    <xf numFmtId="0" fontId="17" fillId="0" borderId="0" xfId="0" applyFont="1"/>
    <xf numFmtId="3" fontId="3" fillId="0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8" fillId="2" borderId="3" xfId="0" applyFont="1" applyFill="1" applyBorder="1"/>
    <xf numFmtId="0" fontId="8" fillId="2" borderId="5" xfId="0" applyFont="1" applyFill="1" applyBorder="1"/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/>
    <xf numFmtId="4" fontId="2" fillId="3" borderId="13" xfId="0" applyNumberFormat="1" applyFont="1" applyFill="1" applyBorder="1" applyAlignment="1">
      <alignment horizontal="left"/>
    </xf>
    <xf numFmtId="4" fontId="1" fillId="3" borderId="13" xfId="0" applyNumberFormat="1" applyFont="1" applyFill="1" applyBorder="1"/>
    <xf numFmtId="0" fontId="1" fillId="0" borderId="14" xfId="0" applyFont="1" applyBorder="1"/>
    <xf numFmtId="4" fontId="3" fillId="0" borderId="14" xfId="0" applyNumberFormat="1" applyFont="1" applyBorder="1" applyAlignment="1">
      <alignment horizontal="left"/>
    </xf>
    <xf numFmtId="4" fontId="1" fillId="0" borderId="14" xfId="0" applyNumberFormat="1" applyFont="1" applyBorder="1"/>
    <xf numFmtId="4" fontId="2" fillId="0" borderId="1" xfId="0" applyNumberFormat="1" applyFont="1" applyFill="1" applyBorder="1" applyAlignment="1">
      <alignment horizontal="left"/>
    </xf>
    <xf numFmtId="4" fontId="1" fillId="0" borderId="0" xfId="0" applyNumberFormat="1" applyFont="1" applyAlignment="1">
      <alignment vertical="center" wrapText="1"/>
    </xf>
    <xf numFmtId="0" fontId="9" fillId="2" borderId="5" xfId="0" applyFont="1" applyFill="1" applyBorder="1"/>
    <xf numFmtId="0" fontId="9" fillId="0" borderId="0" xfId="0" applyFont="1"/>
    <xf numFmtId="0" fontId="1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" fontId="16" fillId="3" borderId="13" xfId="0" applyNumberFormat="1" applyFont="1" applyFill="1" applyBorder="1" applyAlignment="1">
      <alignment horizontal="right"/>
    </xf>
    <xf numFmtId="0" fontId="10" fillId="0" borderId="0" xfId="0" applyFont="1" applyFill="1"/>
    <xf numFmtId="49" fontId="1" fillId="3" borderId="13" xfId="0" applyNumberFormat="1" applyFont="1" applyFill="1" applyBorder="1" applyAlignment="1">
      <alignment horizontal="left"/>
    </xf>
    <xf numFmtId="4" fontId="0" fillId="0" borderId="2" xfId="0" applyNumberFormat="1" applyFont="1" applyBorder="1"/>
    <xf numFmtId="0" fontId="5" fillId="0" borderId="0" xfId="0" applyFont="1" applyFill="1"/>
    <xf numFmtId="49" fontId="0" fillId="0" borderId="0" xfId="0" applyNumberFormat="1" applyBorder="1" applyAlignment="1">
      <alignment horizontal="right"/>
    </xf>
    <xf numFmtId="0" fontId="1" fillId="0" borderId="0" xfId="0" applyFont="1" applyBorder="1"/>
    <xf numFmtId="49" fontId="0" fillId="0" borderId="10" xfId="0" applyNumberFormat="1" applyBorder="1" applyAlignment="1">
      <alignment horizontal="right"/>
    </xf>
    <xf numFmtId="0" fontId="2" fillId="0" borderId="10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/>
    </xf>
    <xf numFmtId="4" fontId="6" fillId="0" borderId="2" xfId="0" applyNumberFormat="1" applyFont="1" applyFill="1" applyBorder="1" applyAlignment="1">
      <alignment horizontal="left"/>
    </xf>
    <xf numFmtId="0" fontId="0" fillId="0" borderId="0" xfId="0" applyFill="1" applyBorder="1"/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/>
    </xf>
    <xf numFmtId="4" fontId="1" fillId="0" borderId="9" xfId="0" applyNumberFormat="1" applyFont="1" applyBorder="1" applyAlignment="1">
      <alignment horizontal="right" vertical="center" wrapText="1"/>
    </xf>
    <xf numFmtId="1" fontId="1" fillId="0" borderId="14" xfId="0" quotePrefix="1" applyNumberFormat="1" applyFont="1" applyFill="1" applyBorder="1" applyAlignment="1">
      <alignment horizontal="center"/>
    </xf>
    <xf numFmtId="1" fontId="1" fillId="0" borderId="0" xfId="0" quotePrefix="1" applyNumberFormat="1" applyFont="1" applyFill="1" applyBorder="1" applyAlignment="1">
      <alignment horizontal="center"/>
    </xf>
    <xf numFmtId="1" fontId="11" fillId="0" borderId="0" xfId="0" quotePrefix="1" applyNumberFormat="1" applyFont="1" applyFill="1" applyBorder="1" applyAlignment="1">
      <alignment horizontal="center"/>
    </xf>
    <xf numFmtId="1" fontId="1" fillId="0" borderId="6" xfId="0" quotePrefix="1" applyNumberFormat="1" applyFont="1" applyFill="1" applyBorder="1" applyAlignment="1">
      <alignment horizontal="center"/>
    </xf>
    <xf numFmtId="0" fontId="1" fillId="0" borderId="5" xfId="0" applyFont="1" applyBorder="1" applyAlignment="1">
      <alignment vertical="center"/>
    </xf>
    <xf numFmtId="1" fontId="1" fillId="0" borderId="6" xfId="0" applyNumberFormat="1" applyFont="1" applyFill="1" applyBorder="1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0" xfId="0" quotePrefix="1" applyNumberFormat="1" applyFill="1" applyAlignment="1">
      <alignment horizontal="center"/>
    </xf>
    <xf numFmtId="4" fontId="8" fillId="2" borderId="4" xfId="0" applyNumberFormat="1" applyFont="1" applyFill="1" applyBorder="1"/>
    <xf numFmtId="0" fontId="1" fillId="0" borderId="3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49" fontId="15" fillId="0" borderId="0" xfId="0" applyNumberFormat="1" applyFont="1" applyFill="1" applyBorder="1" applyAlignment="1">
      <alignment horizontal="left"/>
    </xf>
    <xf numFmtId="0" fontId="15" fillId="0" borderId="0" xfId="0" applyFont="1" applyFill="1"/>
    <xf numFmtId="49" fontId="0" fillId="0" borderId="2" xfId="0" applyNumberFormat="1" applyFill="1" applyBorder="1" applyAlignment="1">
      <alignment horizontal="center"/>
    </xf>
    <xf numFmtId="4" fontId="0" fillId="0" borderId="2" xfId="0" applyNumberFormat="1" applyFont="1" applyFill="1" applyBorder="1"/>
    <xf numFmtId="49" fontId="5" fillId="0" borderId="2" xfId="0" applyNumberFormat="1" applyFont="1" applyFill="1" applyBorder="1" applyAlignment="1">
      <alignment horizontal="center"/>
    </xf>
    <xf numFmtId="4" fontId="5" fillId="0" borderId="12" xfId="0" applyNumberFormat="1" applyFont="1" applyFill="1" applyBorder="1"/>
    <xf numFmtId="4" fontId="1" fillId="0" borderId="15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/>
    </xf>
    <xf numFmtId="4" fontId="5" fillId="0" borderId="8" xfId="0" applyNumberFormat="1" applyFont="1" applyFill="1" applyBorder="1"/>
    <xf numFmtId="0" fontId="2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right"/>
    </xf>
    <xf numFmtId="0" fontId="0" fillId="0" borderId="10" xfId="0" applyFont="1" applyFill="1" applyBorder="1"/>
    <xf numFmtId="0" fontId="14" fillId="0" borderId="0" xfId="0" applyFont="1"/>
    <xf numFmtId="4" fontId="5" fillId="0" borderId="0" xfId="0" applyNumberFormat="1" applyFont="1" applyFill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5" fillId="0" borderId="7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0" borderId="10" xfId="0" applyNumberFormat="1" applyFont="1" applyFill="1" applyBorder="1" applyAlignment="1">
      <alignment horizontal="right"/>
    </xf>
    <xf numFmtId="0" fontId="10" fillId="0" borderId="0" xfId="0" applyFont="1"/>
    <xf numFmtId="4" fontId="2" fillId="0" borderId="2" xfId="0" applyNumberFormat="1" applyFont="1" applyFill="1" applyBorder="1" applyAlignment="1">
      <alignment horizontal="left"/>
    </xf>
    <xf numFmtId="164" fontId="18" fillId="0" borderId="0" xfId="0" applyNumberFormat="1" applyFont="1" applyFill="1" applyBorder="1" applyAlignment="1">
      <alignment horizontal="right"/>
    </xf>
    <xf numFmtId="49" fontId="0" fillId="0" borderId="7" xfId="0" applyNumberFormat="1" applyBorder="1" applyAlignment="1">
      <alignment horizontal="center"/>
    </xf>
    <xf numFmtId="0" fontId="0" fillId="0" borderId="7" xfId="0" applyBorder="1"/>
    <xf numFmtId="4" fontId="0" fillId="0" borderId="7" xfId="0" applyNumberFormat="1" applyBorder="1"/>
    <xf numFmtId="4" fontId="0" fillId="0" borderId="0" xfId="0" applyNumberFormat="1" applyFill="1"/>
    <xf numFmtId="4" fontId="19" fillId="0" borderId="0" xfId="0" applyNumberFormat="1" applyFont="1" applyFill="1" applyBorder="1" applyAlignment="1">
      <alignment horizontal="left"/>
    </xf>
    <xf numFmtId="0" fontId="5" fillId="0" borderId="0" xfId="0" applyFont="1" applyFill="1" applyBorder="1"/>
    <xf numFmtId="49" fontId="0" fillId="0" borderId="0" xfId="0" applyNumberFormat="1" applyBorder="1" applyAlignment="1">
      <alignment horizontal="center"/>
    </xf>
    <xf numFmtId="4" fontId="0" fillId="0" borderId="0" xfId="0" applyNumberFormat="1" applyBorder="1"/>
    <xf numFmtId="4" fontId="11" fillId="0" borderId="15" xfId="0" applyNumberFormat="1" applyFont="1" applyFill="1" applyBorder="1" applyAlignment="1">
      <alignment horizontal="right" vertical="center" wrapText="1"/>
    </xf>
    <xf numFmtId="4" fontId="1" fillId="0" borderId="15" xfId="0" applyNumberFormat="1" applyFont="1" applyFill="1" applyBorder="1" applyAlignment="1">
      <alignment horizontal="right" vertical="center" wrapText="1"/>
    </xf>
    <xf numFmtId="0" fontId="20" fillId="0" borderId="15" xfId="0" applyFont="1" applyBorder="1" applyAlignment="1">
      <alignment horizontal="right" vertical="center" wrapText="1"/>
    </xf>
    <xf numFmtId="0" fontId="20" fillId="0" borderId="16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4" fontId="5" fillId="0" borderId="0" xfId="0" applyNumberFormat="1" applyFont="1" applyFill="1" applyBorder="1"/>
    <xf numFmtId="4" fontId="11" fillId="0" borderId="17" xfId="0" applyNumberFormat="1" applyFont="1" applyBorder="1"/>
    <xf numFmtId="4" fontId="11" fillId="0" borderId="17" xfId="0" applyNumberFormat="1" applyFont="1" applyFill="1" applyBorder="1" applyAlignment="1">
      <alignment horizontal="right"/>
    </xf>
    <xf numFmtId="4" fontId="5" fillId="0" borderId="7" xfId="0" applyNumberFormat="1" applyFont="1" applyFill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0" fontId="0" fillId="0" borderId="0" xfId="0" applyFont="1" applyFill="1" applyBorder="1"/>
    <xf numFmtId="4" fontId="2" fillId="0" borderId="0" xfId="0" applyNumberFormat="1" applyFont="1" applyFill="1" applyBorder="1" applyAlignment="1">
      <alignment horizontal="left"/>
    </xf>
    <xf numFmtId="4" fontId="8" fillId="2" borderId="9" xfId="0" applyNumberFormat="1" applyFont="1" applyFill="1" applyBorder="1"/>
    <xf numFmtId="4" fontId="2" fillId="0" borderId="1" xfId="0" applyNumberFormat="1" applyFont="1" applyFill="1" applyBorder="1" applyAlignment="1">
      <alignment horizontal="right"/>
    </xf>
    <xf numFmtId="4" fontId="8" fillId="2" borderId="5" xfId="0" applyNumberFormat="1" applyFont="1" applyFill="1" applyBorder="1"/>
    <xf numFmtId="4" fontId="1" fillId="0" borderId="4" xfId="0" applyNumberFormat="1" applyFont="1" applyBorder="1" applyAlignment="1">
      <alignment horizontal="right" vertical="center" wrapText="1"/>
    </xf>
    <xf numFmtId="4" fontId="1" fillId="0" borderId="18" xfId="0" applyNumberFormat="1" applyFont="1" applyBorder="1" applyAlignment="1">
      <alignment horizontal="right" vertical="center" wrapText="1"/>
    </xf>
    <xf numFmtId="0" fontId="6" fillId="0" borderId="0" xfId="0" applyFont="1"/>
    <xf numFmtId="1" fontId="6" fillId="0" borderId="0" xfId="0" quotePrefix="1" applyNumberFormat="1" applyFont="1" applyFill="1" applyAlignment="1">
      <alignment horizontal="center"/>
    </xf>
    <xf numFmtId="49" fontId="6" fillId="0" borderId="2" xfId="0" applyNumberFormat="1" applyFont="1" applyBorder="1" applyAlignment="1">
      <alignment horizontal="right"/>
    </xf>
    <xf numFmtId="0" fontId="6" fillId="0" borderId="2" xfId="0" applyFont="1" applyFill="1" applyBorder="1" applyAlignment="1">
      <alignment horizontal="left"/>
    </xf>
    <xf numFmtId="4" fontId="6" fillId="0" borderId="2" xfId="0" applyNumberFormat="1" applyFont="1" applyFill="1" applyBorder="1" applyAlignment="1">
      <alignment horizontal="right"/>
    </xf>
    <xf numFmtId="49" fontId="6" fillId="0" borderId="2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  <xf numFmtId="49" fontId="0" fillId="0" borderId="0" xfId="0" applyNumberFormat="1"/>
    <xf numFmtId="0" fontId="0" fillId="0" borderId="0" xfId="0" applyFont="1" applyBorder="1"/>
    <xf numFmtId="4" fontId="5" fillId="0" borderId="0" xfId="0" applyNumberFormat="1" applyFont="1" applyBorder="1" applyAlignment="1">
      <alignment horizontal="right"/>
    </xf>
    <xf numFmtId="0" fontId="1" fillId="0" borderId="0" xfId="0" applyFont="1" applyFill="1" applyBorder="1"/>
    <xf numFmtId="0" fontId="0" fillId="0" borderId="0" xfId="0" applyBorder="1" applyAlignment="1">
      <alignment vertical="center"/>
    </xf>
    <xf numFmtId="0" fontId="15" fillId="0" borderId="0" xfId="0" applyFont="1"/>
    <xf numFmtId="0" fontId="21" fillId="0" borderId="0" xfId="0" applyFont="1" applyFill="1"/>
    <xf numFmtId="0" fontId="22" fillId="0" borderId="0" xfId="0" applyFont="1" applyFill="1"/>
    <xf numFmtId="4" fontId="5" fillId="0" borderId="2" xfId="0" applyNumberFormat="1" applyFont="1" applyBorder="1"/>
    <xf numFmtId="0" fontId="23" fillId="0" borderId="19" xfId="0" applyFont="1" applyBorder="1"/>
    <xf numFmtId="0" fontId="23" fillId="0" borderId="20" xfId="0" applyFont="1" applyBorder="1"/>
    <xf numFmtId="0" fontId="24" fillId="0" borderId="20" xfId="0" applyFont="1" applyFill="1" applyBorder="1"/>
    <xf numFmtId="0" fontId="24" fillId="0" borderId="20" xfId="0" applyFont="1" applyBorder="1"/>
    <xf numFmtId="0" fontId="24" fillId="0" borderId="21" xfId="0" applyFont="1" applyBorder="1" applyAlignment="1">
      <alignment horizontal="right"/>
    </xf>
    <xf numFmtId="4" fontId="24" fillId="0" borderId="0" xfId="0" applyNumberFormat="1" applyFont="1" applyAlignment="1">
      <alignment horizontal="right"/>
    </xf>
    <xf numFmtId="0" fontId="24" fillId="0" borderId="0" xfId="0" applyFont="1"/>
    <xf numFmtId="0" fontId="20" fillId="0" borderId="22" xfId="0" applyFont="1" applyBorder="1"/>
    <xf numFmtId="0" fontId="20" fillId="0" borderId="0" xfId="0" applyFont="1" applyBorder="1"/>
    <xf numFmtId="0" fontId="0" fillId="0" borderId="23" xfId="0" applyBorder="1" applyAlignment="1">
      <alignment horizontal="right"/>
    </xf>
    <xf numFmtId="0" fontId="0" fillId="0" borderId="0" xfId="0" applyAlignment="1">
      <alignment horizontal="right"/>
    </xf>
    <xf numFmtId="0" fontId="20" fillId="0" borderId="0" xfId="0" applyFont="1" applyBorder="1" applyAlignment="1">
      <alignment horizontal="right"/>
    </xf>
    <xf numFmtId="0" fontId="20" fillId="0" borderId="23" xfId="0" applyFont="1" applyBorder="1" applyAlignment="1">
      <alignment horizontal="right"/>
    </xf>
    <xf numFmtId="0" fontId="0" fillId="0" borderId="22" xfId="0" applyBorder="1"/>
    <xf numFmtId="4" fontId="0" fillId="0" borderId="23" xfId="0" applyNumberFormat="1" applyBorder="1" applyAlignment="1">
      <alignment horizontal="right"/>
    </xf>
    <xf numFmtId="4" fontId="0" fillId="0" borderId="24" xfId="0" applyNumberFormat="1" applyBorder="1"/>
    <xf numFmtId="4" fontId="0" fillId="0" borderId="25" xfId="0" applyNumberFormat="1" applyBorder="1" applyAlignment="1">
      <alignment horizontal="right"/>
    </xf>
    <xf numFmtId="0" fontId="25" fillId="0" borderId="22" xfId="0" applyFont="1" applyBorder="1"/>
    <xf numFmtId="0" fontId="25" fillId="0" borderId="0" xfId="0" applyFont="1" applyBorder="1"/>
    <xf numFmtId="0" fontId="0" fillId="0" borderId="22" xfId="0" applyBorder="1" applyAlignment="1">
      <alignment vertical="center"/>
    </xf>
    <xf numFmtId="0" fontId="0" fillId="0" borderId="0" xfId="0" applyFill="1" applyBorder="1" applyAlignment="1">
      <alignment vertical="center"/>
    </xf>
    <xf numFmtId="4" fontId="0" fillId="0" borderId="0" xfId="0" applyNumberForma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4" fontId="0" fillId="0" borderId="23" xfId="0" applyNumberFormat="1" applyBorder="1" applyAlignment="1">
      <alignment horizontal="right" vertical="center"/>
    </xf>
    <xf numFmtId="4" fontId="5" fillId="0" borderId="0" xfId="0" applyNumberFormat="1" applyFont="1" applyAlignment="1">
      <alignment horizontal="right"/>
    </xf>
    <xf numFmtId="0" fontId="7" fillId="0" borderId="27" xfId="0" applyFont="1" applyBorder="1"/>
    <xf numFmtId="0" fontId="7" fillId="0" borderId="28" xfId="0" applyFont="1" applyBorder="1"/>
    <xf numFmtId="0" fontId="7" fillId="0" borderId="28" xfId="0" applyFont="1" applyFill="1" applyBorder="1"/>
    <xf numFmtId="4" fontId="7" fillId="0" borderId="28" xfId="0" applyNumberFormat="1" applyFont="1" applyBorder="1"/>
    <xf numFmtId="4" fontId="7" fillId="0" borderId="9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/>
    <xf numFmtId="0" fontId="0" fillId="0" borderId="19" xfId="0" applyBorder="1"/>
    <xf numFmtId="0" fontId="0" fillId="0" borderId="20" xfId="0" applyBorder="1"/>
    <xf numFmtId="0" fontId="0" fillId="0" borderId="20" xfId="0" applyFill="1" applyBorder="1"/>
    <xf numFmtId="0" fontId="0" fillId="0" borderId="21" xfId="0" applyBorder="1"/>
    <xf numFmtId="0" fontId="23" fillId="0" borderId="22" xfId="0" applyFont="1" applyBorder="1"/>
    <xf numFmtId="0" fontId="0" fillId="0" borderId="23" xfId="0" applyBorder="1"/>
    <xf numFmtId="4" fontId="20" fillId="0" borderId="0" xfId="0" applyNumberFormat="1" applyFont="1" applyBorder="1" applyAlignment="1">
      <alignment horizontal="right"/>
    </xf>
    <xf numFmtId="4" fontId="26" fillId="0" borderId="23" xfId="0" applyNumberFormat="1" applyFont="1" applyFill="1" applyBorder="1" applyAlignment="1">
      <alignment horizontal="right"/>
    </xf>
    <xf numFmtId="4" fontId="0" fillId="0" borderId="23" xfId="0" applyNumberFormat="1" applyBorder="1"/>
    <xf numFmtId="4" fontId="5" fillId="0" borderId="0" xfId="0" applyNumberFormat="1" applyFont="1" applyBorder="1"/>
    <xf numFmtId="0" fontId="0" fillId="0" borderId="29" xfId="0" applyBorder="1"/>
    <xf numFmtId="0" fontId="0" fillId="0" borderId="30" xfId="0" applyBorder="1"/>
    <xf numFmtId="0" fontId="0" fillId="0" borderId="30" xfId="0" applyFill="1" applyBorder="1"/>
    <xf numFmtId="4" fontId="0" fillId="0" borderId="30" xfId="0" applyNumberFormat="1" applyBorder="1"/>
    <xf numFmtId="4" fontId="0" fillId="0" borderId="31" xfId="0" applyNumberFormat="1" applyBorder="1"/>
    <xf numFmtId="0" fontId="0" fillId="0" borderId="32" xfId="0" applyBorder="1"/>
    <xf numFmtId="0" fontId="0" fillId="0" borderId="24" xfId="0" applyBorder="1"/>
    <xf numFmtId="0" fontId="0" fillId="0" borderId="24" xfId="0" applyFill="1" applyBorder="1"/>
    <xf numFmtId="4" fontId="0" fillId="0" borderId="25" xfId="0" applyNumberFormat="1" applyFill="1" applyBorder="1"/>
    <xf numFmtId="4" fontId="7" fillId="0" borderId="33" xfId="0" applyNumberFormat="1" applyFont="1" applyBorder="1"/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0" fillId="0" borderId="2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834602</xdr:colOff>
      <xdr:row>0</xdr:row>
      <xdr:rowOff>21897</xdr:rowOff>
    </xdr:from>
    <xdr:to>
      <xdr:col>9</xdr:col>
      <xdr:colOff>1276686</xdr:colOff>
      <xdr:row>3</xdr:row>
      <xdr:rowOff>194583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58826" y="21897"/>
          <a:ext cx="1646394" cy="807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90"/>
  <sheetViews>
    <sheetView showGridLines="0" tabSelected="1" view="pageLayout" zoomScale="87" zoomScaleNormal="96" zoomScalePageLayoutView="87" workbookViewId="0">
      <selection activeCell="F6" sqref="F6"/>
    </sheetView>
  </sheetViews>
  <sheetFormatPr baseColWidth="10" defaultColWidth="11.42578125" defaultRowHeight="15" x14ac:dyDescent="0.25"/>
  <cols>
    <col min="1" max="1" width="13.42578125" customWidth="1"/>
    <col min="2" max="2" width="10.7109375" style="2" customWidth="1"/>
    <col min="3" max="3" width="38.28515625" customWidth="1"/>
    <col min="4" max="4" width="18.85546875" customWidth="1"/>
    <col min="5" max="6" width="19" customWidth="1"/>
    <col min="7" max="7" width="17.42578125" customWidth="1"/>
    <col min="8" max="8" width="15" customWidth="1"/>
    <col min="9" max="9" width="16.85546875" customWidth="1"/>
    <col min="10" max="10" width="18.140625" customWidth="1"/>
    <col min="12" max="12" width="14" customWidth="1"/>
  </cols>
  <sheetData>
    <row r="1" spans="2:10" ht="15.75" thickBot="1" x14ac:dyDescent="0.3"/>
    <row r="2" spans="2:10" ht="19.5" thickBot="1" x14ac:dyDescent="0.35">
      <c r="B2" s="209" t="s">
        <v>196</v>
      </c>
      <c r="C2" s="210"/>
      <c r="D2" s="210"/>
      <c r="E2" s="210"/>
      <c r="F2" s="211"/>
    </row>
    <row r="4" spans="2:10" ht="18.75" x14ac:dyDescent="0.3">
      <c r="B4" s="28" t="s">
        <v>44</v>
      </c>
    </row>
    <row r="5" spans="2:10" ht="15.75" thickBot="1" x14ac:dyDescent="0.3"/>
    <row r="6" spans="2:10" s="30" customFormat="1" ht="54.75" customHeight="1" thickBot="1" x14ac:dyDescent="0.3">
      <c r="B6" s="29" t="s">
        <v>47</v>
      </c>
      <c r="C6" s="102" t="s">
        <v>85</v>
      </c>
      <c r="D6" s="101" t="s">
        <v>82</v>
      </c>
      <c r="E6" s="101" t="s">
        <v>129</v>
      </c>
      <c r="F6" s="101" t="s">
        <v>130</v>
      </c>
      <c r="G6" s="124" t="s">
        <v>154</v>
      </c>
      <c r="H6" s="125" t="s">
        <v>131</v>
      </c>
      <c r="I6" s="126" t="s">
        <v>132</v>
      </c>
      <c r="J6" s="127" t="s">
        <v>133</v>
      </c>
    </row>
    <row r="7" spans="2:10" x14ac:dyDescent="0.25">
      <c r="B7" s="31"/>
      <c r="C7" s="32"/>
      <c r="D7" s="33"/>
      <c r="E7" s="33"/>
      <c r="F7" s="33"/>
      <c r="G7" s="65"/>
      <c r="H7" s="2"/>
      <c r="I7" s="128"/>
      <c r="J7" s="128"/>
    </row>
    <row r="8" spans="2:10" s="26" customFormat="1" x14ac:dyDescent="0.25">
      <c r="B8" s="34">
        <v>3</v>
      </c>
      <c r="C8" s="35" t="s">
        <v>86</v>
      </c>
      <c r="D8" s="100">
        <f>'Cap. 3 Ing. vendes'!F3</f>
        <v>1482392.24</v>
      </c>
      <c r="E8" s="100">
        <f>'Cap. 3 Ing. vendes'!G3</f>
        <v>599217.93999999983</v>
      </c>
      <c r="F8" s="100">
        <f>'Cap. 3 Ing. vendes'!H3</f>
        <v>2081610.18</v>
      </c>
      <c r="G8" s="100">
        <f>'Cap. 3 Ing. vendes'!I3</f>
        <v>2058980.5399999996</v>
      </c>
      <c r="H8" s="100">
        <f>'Cap. 3 Ing. vendes'!J3</f>
        <v>367229.78</v>
      </c>
      <c r="I8" s="100">
        <f>'Cap. 3 Ing. vendes'!K3</f>
        <v>1691750.76</v>
      </c>
      <c r="J8" s="100">
        <f>'Cap. 3 Ing. vendes'!L3</f>
        <v>-22629.639999999956</v>
      </c>
    </row>
    <row r="9" spans="2:10" s="26" customFormat="1" x14ac:dyDescent="0.25">
      <c r="B9" s="34">
        <v>4</v>
      </c>
      <c r="C9" s="35" t="s">
        <v>55</v>
      </c>
      <c r="D9" s="100">
        <f>'Cap. 4 Ing. Transf.corrents'!F3</f>
        <v>1685643</v>
      </c>
      <c r="E9" s="100">
        <f>'Cap. 4 Ing. Transf.corrents'!G3</f>
        <v>189621.77</v>
      </c>
      <c r="F9" s="100">
        <f>'Cap. 4 Ing. Transf.corrents'!H3</f>
        <v>1875264.7699999998</v>
      </c>
      <c r="G9" s="100">
        <f>'Cap. 4 Ing. Transf.corrents'!I3</f>
        <v>1734299.77</v>
      </c>
      <c r="H9" s="100">
        <f>'Cap. 4 Ing. Transf.corrents'!J3</f>
        <v>37500</v>
      </c>
      <c r="I9" s="100">
        <f>'Cap. 4 Ing. Transf.corrents'!K3</f>
        <v>1696799.77</v>
      </c>
      <c r="J9" s="100">
        <f>'Cap. 4 Ing. Transf.corrents'!L3</f>
        <v>-140965</v>
      </c>
    </row>
    <row r="10" spans="2:10" s="26" customFormat="1" x14ac:dyDescent="0.25">
      <c r="B10" s="34">
        <v>5</v>
      </c>
      <c r="C10" s="37" t="s">
        <v>56</v>
      </c>
      <c r="D10" s="36">
        <f>'Cap. 5 i 8 Ing. pat'!F3</f>
        <v>30</v>
      </c>
      <c r="E10" s="36">
        <f>'Cap. 5 i 8 Ing. pat'!G3</f>
        <v>0</v>
      </c>
      <c r="F10" s="36">
        <f>'Cap. 5 i 8 Ing. pat'!H3</f>
        <v>30</v>
      </c>
      <c r="G10" s="36">
        <f>'Cap. 5 i 8 Ing. pat'!I3</f>
        <v>0</v>
      </c>
      <c r="H10" s="36">
        <f>'Cap. 5 i 8 Ing. pat'!J3</f>
        <v>0</v>
      </c>
      <c r="I10" s="36">
        <f>'Cap. 5 i 8 Ing. pat'!K3</f>
        <v>0</v>
      </c>
      <c r="J10" s="36">
        <f>'Cap. 5 i 8 Ing. pat'!L3</f>
        <v>-30</v>
      </c>
    </row>
    <row r="11" spans="2:10" x14ac:dyDescent="0.25">
      <c r="B11" s="34">
        <v>8</v>
      </c>
      <c r="C11" s="37" t="s">
        <v>136</v>
      </c>
      <c r="D11" s="36">
        <f>'Cap. 5 i 8 Ing. pat'!F14</f>
        <v>0</v>
      </c>
      <c r="E11" s="36">
        <f>'Cap. 5 i 8 Ing. pat'!G14</f>
        <v>308218.64</v>
      </c>
      <c r="F11" s="36">
        <f>'Cap. 5 i 8 Ing. pat'!H14</f>
        <v>308218.64</v>
      </c>
      <c r="G11" s="36">
        <f>'Cap. 5 i 8 Ing. pat'!I14</f>
        <v>0</v>
      </c>
      <c r="H11" s="36">
        <f>'Cap. 5 i 8 Ing. pat'!J14</f>
        <v>0</v>
      </c>
      <c r="I11" s="36">
        <f>'Cap. 5 i 8 Ing. pat'!K14</f>
        <v>0</v>
      </c>
      <c r="J11" s="36">
        <f>'Cap. 5 i 8 Ing. pat'!L14</f>
        <v>-308218.64</v>
      </c>
    </row>
    <row r="12" spans="2:10" x14ac:dyDescent="0.25">
      <c r="C12" s="1"/>
      <c r="E12" s="129"/>
      <c r="F12" s="129"/>
      <c r="G12" s="129"/>
      <c r="H12" s="129"/>
      <c r="I12" s="129"/>
      <c r="J12" s="129"/>
    </row>
    <row r="13" spans="2:10" s="41" customFormat="1" ht="18.75" x14ac:dyDescent="0.3">
      <c r="B13" s="38" t="s">
        <v>57</v>
      </c>
      <c r="C13" s="39"/>
      <c r="D13" s="40">
        <f>SUM(D8:D11)</f>
        <v>3168065.24</v>
      </c>
      <c r="E13" s="40">
        <f t="shared" ref="E13:J13" si="0">SUM(E8:E11)</f>
        <v>1097058.3499999999</v>
      </c>
      <c r="F13" s="40">
        <f>SUM(F8:F11)</f>
        <v>4265123.59</v>
      </c>
      <c r="G13" s="40">
        <f t="shared" si="0"/>
        <v>3793280.3099999996</v>
      </c>
      <c r="H13" s="40">
        <f t="shared" si="0"/>
        <v>404729.78</v>
      </c>
      <c r="I13" s="40">
        <f t="shared" si="0"/>
        <v>3388550.5300000003</v>
      </c>
      <c r="J13" s="40">
        <f t="shared" si="0"/>
        <v>-471843.27999999997</v>
      </c>
    </row>
    <row r="14" spans="2:10" x14ac:dyDescent="0.25">
      <c r="B14" s="42"/>
    </row>
    <row r="15" spans="2:10" x14ac:dyDescent="0.25">
      <c r="B15" s="42"/>
    </row>
    <row r="16" spans="2:10" ht="18.75" x14ac:dyDescent="0.3">
      <c r="B16" s="28" t="s">
        <v>128</v>
      </c>
    </row>
    <row r="17" spans="2:10" ht="15.75" thickBot="1" x14ac:dyDescent="0.3"/>
    <row r="18" spans="2:10" s="30" customFormat="1" ht="51.75" customHeight="1" thickBot="1" x14ac:dyDescent="0.3">
      <c r="B18" s="29" t="s">
        <v>47</v>
      </c>
      <c r="C18" s="102" t="s">
        <v>85</v>
      </c>
      <c r="D18" s="101" t="s">
        <v>82</v>
      </c>
      <c r="E18" s="101" t="s">
        <v>129</v>
      </c>
      <c r="F18" s="101" t="s">
        <v>130</v>
      </c>
      <c r="G18" s="124" t="s">
        <v>155</v>
      </c>
      <c r="H18" s="125" t="s">
        <v>134</v>
      </c>
      <c r="I18" s="126" t="s">
        <v>135</v>
      </c>
      <c r="J18" s="127" t="s">
        <v>133</v>
      </c>
    </row>
    <row r="19" spans="2:10" x14ac:dyDescent="0.25">
      <c r="B19" s="31"/>
      <c r="C19" s="32"/>
      <c r="D19" s="43"/>
      <c r="E19" s="43"/>
      <c r="F19" s="43"/>
    </row>
    <row r="20" spans="2:10" s="26" customFormat="1" x14ac:dyDescent="0.25">
      <c r="B20" s="34">
        <v>1</v>
      </c>
      <c r="C20" s="35" t="s">
        <v>87</v>
      </c>
      <c r="D20" s="103">
        <f>'Cap. 1 Desp. Personal'!F3</f>
        <v>2283101.7007403998</v>
      </c>
      <c r="E20" s="103">
        <f>'Cap. 1 Desp. Personal'!G3</f>
        <v>567953.54999999993</v>
      </c>
      <c r="F20" s="103">
        <f>'Cap. 1 Desp. Personal'!H3</f>
        <v>2851055.2507403996</v>
      </c>
      <c r="G20" s="103">
        <f>'Cap. 1 Desp. Personal'!I3</f>
        <v>2617160.44</v>
      </c>
      <c r="H20" s="103">
        <f>'Cap. 1 Desp. Personal'!J3</f>
        <v>0</v>
      </c>
      <c r="I20" s="103">
        <f>'Cap. 1 Desp. Personal'!K3</f>
        <v>2617160.44</v>
      </c>
      <c r="J20" s="103">
        <f>'Cap. 1 Desp. Personal'!L3</f>
        <v>233894.81074039973</v>
      </c>
    </row>
    <row r="21" spans="2:10" s="26" customFormat="1" x14ac:dyDescent="0.25">
      <c r="B21" s="34">
        <v>2</v>
      </c>
      <c r="C21" s="35" t="s">
        <v>58</v>
      </c>
      <c r="D21" s="103">
        <f>'Cap. 2 Desp.Corrents'!F3</f>
        <v>872533.54</v>
      </c>
      <c r="E21" s="103">
        <f>'Cap. 2 Desp.Corrents'!G3</f>
        <v>484304.79999999987</v>
      </c>
      <c r="F21" s="103">
        <f>'Cap. 2 Desp.Corrents'!H3</f>
        <v>1356838.3399999999</v>
      </c>
      <c r="G21" s="103">
        <f>'Cap. 2 Desp.Corrents'!I3</f>
        <v>1000599.42</v>
      </c>
      <c r="H21" s="103">
        <f>'Cap. 2 Desp.Corrents'!J3</f>
        <v>325098.53000000003</v>
      </c>
      <c r="I21" s="103">
        <f>'Cap. 2 Desp.Corrents'!K3</f>
        <v>675500.8899999999</v>
      </c>
      <c r="J21" s="103">
        <f>'Cap. 2 Desp.Corrents'!L3</f>
        <v>356238.91999999987</v>
      </c>
    </row>
    <row r="22" spans="2:10" s="26" customFormat="1" x14ac:dyDescent="0.25">
      <c r="B22" s="34">
        <v>3</v>
      </c>
      <c r="C22" s="35" t="s">
        <v>59</v>
      </c>
      <c r="D22" s="103">
        <f>'Cap. 3-4-6 Df, Tc, Inv'!F3</f>
        <v>430</v>
      </c>
      <c r="E22" s="103">
        <f>'Cap. 3-4-6 Df, Tc, Inv'!G3</f>
        <v>100</v>
      </c>
      <c r="F22" s="103">
        <f>'Cap. 3-4-6 Df, Tc, Inv'!H3</f>
        <v>530</v>
      </c>
      <c r="G22" s="103">
        <f>'Cap. 3-4-6 Df, Tc, Inv'!I3</f>
        <v>479.18</v>
      </c>
      <c r="H22" s="103">
        <f>'Cap. 3-4-6 Df, Tc, Inv'!J3</f>
        <v>0</v>
      </c>
      <c r="I22" s="103">
        <f>'Cap. 3-4-6 Df, Tc, Inv'!K3</f>
        <v>479.18</v>
      </c>
      <c r="J22" s="103">
        <f>'Cap. 3-4-6 Df, Tc, Inv'!L3</f>
        <v>50.819999999999993</v>
      </c>
    </row>
    <row r="23" spans="2:10" s="26" customFormat="1" x14ac:dyDescent="0.25">
      <c r="B23" s="34">
        <v>4</v>
      </c>
      <c r="C23" s="35" t="s">
        <v>137</v>
      </c>
      <c r="D23" s="103">
        <f>'Cap. 3-4-6 Df, Tc, Inv'!F13</f>
        <v>0</v>
      </c>
      <c r="E23" s="103">
        <f>'Cap. 3-4-6 Df, Tc, Inv'!G13</f>
        <v>28500</v>
      </c>
      <c r="F23" s="103">
        <f>'Cap. 3-4-6 Df, Tc, Inv'!H13</f>
        <v>28500</v>
      </c>
      <c r="G23" s="103">
        <f>'Cap. 3-4-6 Df, Tc, Inv'!I13</f>
        <v>28500</v>
      </c>
      <c r="H23" s="103">
        <f>'Cap. 3-4-6 Df, Tc, Inv'!J13</f>
        <v>0</v>
      </c>
      <c r="I23" s="103">
        <f>'Cap. 3-4-6 Df, Tc, Inv'!K13</f>
        <v>28500</v>
      </c>
      <c r="J23" s="103">
        <f>'Cap. 3-4-6 Df, Tc, Inv'!L13</f>
        <v>0</v>
      </c>
    </row>
    <row r="24" spans="2:10" s="26" customFormat="1" x14ac:dyDescent="0.25">
      <c r="B24" s="34">
        <v>6</v>
      </c>
      <c r="C24" s="37" t="s">
        <v>60</v>
      </c>
      <c r="D24" s="103">
        <f>'Cap. 3-4-6 Df, Tc, Inv'!F23</f>
        <v>12000</v>
      </c>
      <c r="E24" s="103">
        <f>'Cap. 3-4-6 Df, Tc, Inv'!G23</f>
        <v>16200</v>
      </c>
      <c r="F24" s="103">
        <f>'Cap. 3-4-6 Df, Tc, Inv'!H23</f>
        <v>28200</v>
      </c>
      <c r="G24" s="103">
        <f>'Cap. 3-4-6 Df, Tc, Inv'!I23</f>
        <v>17412.78</v>
      </c>
      <c r="H24" s="103">
        <f>'Cap. 3-4-6 Df, Tc, Inv'!J23</f>
        <v>3553.9300000000003</v>
      </c>
      <c r="I24" s="103">
        <f>'Cap. 3-4-6 Df, Tc, Inv'!K23</f>
        <v>13858.849999999999</v>
      </c>
      <c r="J24" s="103">
        <f>'Cap. 3-4-6 Df, Tc, Inv'!L23</f>
        <v>10787.220000000001</v>
      </c>
    </row>
    <row r="26" spans="2:10" s="41" customFormat="1" ht="18.75" x14ac:dyDescent="0.3">
      <c r="B26" s="38" t="s">
        <v>61</v>
      </c>
      <c r="C26" s="39"/>
      <c r="D26" s="40">
        <f t="shared" ref="D26:J26" si="1">SUM(D20:D25)</f>
        <v>3168065.2407403998</v>
      </c>
      <c r="E26" s="40">
        <f t="shared" si="1"/>
        <v>1097058.3499999999</v>
      </c>
      <c r="F26" s="40">
        <f t="shared" si="1"/>
        <v>4265123.5907403994</v>
      </c>
      <c r="G26" s="40">
        <f t="shared" si="1"/>
        <v>3664151.82</v>
      </c>
      <c r="H26" s="40">
        <f t="shared" si="1"/>
        <v>328652.46000000002</v>
      </c>
      <c r="I26" s="40">
        <f t="shared" si="1"/>
        <v>3335499.3600000003</v>
      </c>
      <c r="J26" s="40">
        <f t="shared" si="1"/>
        <v>600971.77074039949</v>
      </c>
    </row>
    <row r="28" spans="2:10" x14ac:dyDescent="0.25">
      <c r="D28" s="119"/>
    </row>
    <row r="29" spans="2:10" x14ac:dyDescent="0.25">
      <c r="C29" s="32"/>
      <c r="E29" s="27"/>
      <c r="F29" s="27"/>
      <c r="G29" s="27"/>
      <c r="H29" s="27"/>
      <c r="I29" s="27"/>
      <c r="J29" s="27"/>
    </row>
    <row r="30" spans="2:10" x14ac:dyDescent="0.25">
      <c r="D30" s="27"/>
    </row>
    <row r="31" spans="2:10" x14ac:dyDescent="0.25">
      <c r="D31" s="27"/>
    </row>
    <row r="32" spans="2:10" x14ac:dyDescent="0.25">
      <c r="D32" s="27"/>
    </row>
    <row r="33" spans="2:10" x14ac:dyDescent="0.25">
      <c r="D33" s="27"/>
    </row>
    <row r="34" spans="2:10" x14ac:dyDescent="0.25">
      <c r="D34" s="27"/>
    </row>
    <row r="35" spans="2:10" x14ac:dyDescent="0.25">
      <c r="D35" s="27"/>
    </row>
    <row r="36" spans="2:10" x14ac:dyDescent="0.25">
      <c r="D36" s="27"/>
    </row>
    <row r="37" spans="2:10" x14ac:dyDescent="0.25">
      <c r="D37" s="27"/>
    </row>
    <row r="38" spans="2:10" x14ac:dyDescent="0.25">
      <c r="D38" s="27"/>
    </row>
    <row r="39" spans="2:10" x14ac:dyDescent="0.25">
      <c r="D39" s="27"/>
    </row>
    <row r="40" spans="2:10" x14ac:dyDescent="0.25">
      <c r="D40" s="27"/>
    </row>
    <row r="41" spans="2:10" x14ac:dyDescent="0.25">
      <c r="D41" s="27"/>
    </row>
    <row r="42" spans="2:10" x14ac:dyDescent="0.25">
      <c r="D42" s="27"/>
    </row>
    <row r="46" spans="2:10" ht="15.75" thickBot="1" x14ac:dyDescent="0.3"/>
    <row r="47" spans="2:10" s="163" customFormat="1" ht="18.75" x14ac:dyDescent="0.3">
      <c r="B47" s="157" t="s">
        <v>159</v>
      </c>
      <c r="C47" s="158"/>
      <c r="D47" s="159"/>
      <c r="E47" s="160"/>
      <c r="F47" s="160"/>
      <c r="G47" s="160"/>
      <c r="H47" s="160"/>
      <c r="I47" s="161"/>
      <c r="J47" s="162"/>
    </row>
    <row r="48" spans="2:10" ht="3.75" customHeight="1" x14ac:dyDescent="0.25">
      <c r="B48" s="164"/>
      <c r="C48" s="165"/>
      <c r="D48" s="74"/>
      <c r="E48" s="4"/>
      <c r="F48" s="4"/>
      <c r="G48" s="4"/>
      <c r="H48" s="4"/>
      <c r="I48" s="166"/>
      <c r="J48" s="167"/>
    </row>
    <row r="49" spans="2:12" x14ac:dyDescent="0.25">
      <c r="B49" s="164" t="s">
        <v>160</v>
      </c>
      <c r="C49" s="165"/>
      <c r="D49" s="74"/>
      <c r="E49" s="4"/>
      <c r="F49" s="168" t="s">
        <v>161</v>
      </c>
      <c r="G49" s="168" t="s">
        <v>162</v>
      </c>
      <c r="H49" s="168" t="s">
        <v>163</v>
      </c>
      <c r="I49" s="169" t="s">
        <v>164</v>
      </c>
      <c r="J49" s="167"/>
    </row>
    <row r="50" spans="2:12" ht="15" customHeight="1" x14ac:dyDescent="0.25">
      <c r="B50" s="170"/>
      <c r="C50" s="4"/>
      <c r="D50" s="74"/>
      <c r="E50" s="4"/>
      <c r="F50" s="168" t="s">
        <v>165</v>
      </c>
      <c r="G50" s="168" t="s">
        <v>166</v>
      </c>
      <c r="H50" s="168"/>
      <c r="I50" s="169" t="s">
        <v>167</v>
      </c>
      <c r="J50" s="167"/>
    </row>
    <row r="51" spans="2:12" ht="9" customHeight="1" x14ac:dyDescent="0.25">
      <c r="B51" s="170"/>
      <c r="C51" s="4"/>
      <c r="D51" s="74"/>
      <c r="E51" s="4"/>
      <c r="F51" s="168"/>
      <c r="G51" s="168"/>
      <c r="H51" s="168"/>
      <c r="I51" s="169"/>
      <c r="J51" s="167"/>
    </row>
    <row r="52" spans="2:12" x14ac:dyDescent="0.25">
      <c r="B52" s="170" t="s">
        <v>168</v>
      </c>
      <c r="C52" s="4"/>
      <c r="D52" s="74"/>
      <c r="E52" s="4"/>
      <c r="F52" s="123">
        <f>G9+G8</f>
        <v>3793280.3099999996</v>
      </c>
      <c r="G52" s="123">
        <f>G20+G21+G23+G24</f>
        <v>3663672.6399999997</v>
      </c>
      <c r="H52" s="123"/>
      <c r="I52" s="171">
        <f>F52-G52</f>
        <v>129607.66999999993</v>
      </c>
      <c r="J52" s="167"/>
    </row>
    <row r="53" spans="2:12" x14ac:dyDescent="0.25">
      <c r="B53" s="170" t="s">
        <v>169</v>
      </c>
      <c r="C53" s="4"/>
      <c r="D53" s="74"/>
      <c r="E53" s="4"/>
      <c r="F53" s="123">
        <v>0</v>
      </c>
      <c r="G53" s="123">
        <f>G22</f>
        <v>479.18</v>
      </c>
      <c r="H53" s="123"/>
      <c r="I53" s="171">
        <f>F53-G53</f>
        <v>-479.18</v>
      </c>
      <c r="J53" s="167"/>
    </row>
    <row r="54" spans="2:12" x14ac:dyDescent="0.25">
      <c r="B54" s="170" t="s">
        <v>170</v>
      </c>
      <c r="C54" s="4"/>
      <c r="D54" s="74"/>
      <c r="E54" s="4"/>
      <c r="F54" s="123">
        <f>SUM(F52:F53)</f>
        <v>3793280.3099999996</v>
      </c>
      <c r="G54" s="123">
        <f>SUM(G52:G53)</f>
        <v>3664151.82</v>
      </c>
      <c r="H54" s="123"/>
      <c r="I54" s="171">
        <f>F54-G54</f>
        <v>129128.48999999976</v>
      </c>
      <c r="J54" s="167"/>
    </row>
    <row r="55" spans="2:12" x14ac:dyDescent="0.25">
      <c r="B55" s="170" t="s">
        <v>171</v>
      </c>
      <c r="C55" s="4"/>
      <c r="D55" s="74"/>
      <c r="E55" s="4"/>
      <c r="F55" s="123">
        <f>I77</f>
        <v>0</v>
      </c>
      <c r="G55" s="123">
        <v>0</v>
      </c>
      <c r="H55" s="123"/>
      <c r="I55" s="171">
        <f>F55-G55</f>
        <v>0</v>
      </c>
      <c r="J55" s="167"/>
    </row>
    <row r="56" spans="2:12" x14ac:dyDescent="0.25">
      <c r="B56" s="170" t="s">
        <v>172</v>
      </c>
      <c r="C56" s="4"/>
      <c r="D56" s="74"/>
      <c r="E56" s="4"/>
      <c r="F56" s="123">
        <v>0</v>
      </c>
      <c r="G56" s="123">
        <v>0</v>
      </c>
      <c r="H56" s="123"/>
      <c r="I56" s="171">
        <f>F56-G56</f>
        <v>0</v>
      </c>
      <c r="J56" s="167"/>
    </row>
    <row r="57" spans="2:12" ht="10.5" customHeight="1" x14ac:dyDescent="0.25">
      <c r="B57" s="170"/>
      <c r="C57" s="4"/>
      <c r="D57" s="74"/>
      <c r="E57" s="4"/>
      <c r="F57" s="172"/>
      <c r="G57" s="172"/>
      <c r="H57" s="123"/>
      <c r="I57" s="173"/>
      <c r="J57" s="167"/>
    </row>
    <row r="58" spans="2:12" x14ac:dyDescent="0.25">
      <c r="B58" s="170" t="s">
        <v>173</v>
      </c>
      <c r="C58" s="4"/>
      <c r="D58" s="74"/>
      <c r="E58" s="4"/>
      <c r="F58" s="123">
        <f>SUM(F54:F56)</f>
        <v>3793280.3099999996</v>
      </c>
      <c r="G58" s="123">
        <f>SUM(G54:G56)</f>
        <v>3664151.82</v>
      </c>
      <c r="H58" s="123"/>
      <c r="I58" s="171">
        <f>F58-G58</f>
        <v>129128.48999999976</v>
      </c>
      <c r="J58" s="167"/>
    </row>
    <row r="59" spans="2:12" ht="9.75" customHeight="1" x14ac:dyDescent="0.25">
      <c r="B59" s="170"/>
      <c r="C59" s="4"/>
      <c r="D59" s="74"/>
      <c r="E59" s="4"/>
      <c r="F59" s="123"/>
      <c r="G59" s="123"/>
      <c r="H59" s="123"/>
      <c r="I59" s="171"/>
      <c r="J59" s="167"/>
    </row>
    <row r="60" spans="2:12" x14ac:dyDescent="0.25">
      <c r="B60" s="174" t="s">
        <v>163</v>
      </c>
      <c r="C60" s="175"/>
      <c r="D60" s="74"/>
      <c r="E60" s="4"/>
      <c r="F60" s="123"/>
      <c r="G60" s="123"/>
      <c r="H60" s="123"/>
      <c r="I60" s="171"/>
      <c r="J60" s="167"/>
    </row>
    <row r="61" spans="2:12" x14ac:dyDescent="0.25">
      <c r="B61" s="176" t="s">
        <v>174</v>
      </c>
      <c r="C61" s="152"/>
      <c r="D61" s="177"/>
      <c r="E61" s="152"/>
      <c r="F61" s="178"/>
      <c r="G61" s="178"/>
      <c r="H61" s="179">
        <v>0</v>
      </c>
      <c r="I61" s="180"/>
      <c r="J61" s="181"/>
    </row>
    <row r="62" spans="2:12" ht="36" customHeight="1" x14ac:dyDescent="0.25">
      <c r="B62" s="176" t="s">
        <v>175</v>
      </c>
      <c r="C62" s="152"/>
      <c r="D62" s="177"/>
      <c r="E62" s="152"/>
      <c r="F62" s="178"/>
      <c r="G62" s="178"/>
      <c r="H62" s="179">
        <f>13082.73+308218.64</f>
        <v>321301.37</v>
      </c>
      <c r="I62" s="180"/>
      <c r="J62" s="212" t="s">
        <v>194</v>
      </c>
      <c r="K62" s="213"/>
      <c r="L62" s="113"/>
    </row>
    <row r="63" spans="2:12" ht="26.25" customHeight="1" x14ac:dyDescent="0.25">
      <c r="B63" s="176" t="s">
        <v>176</v>
      </c>
      <c r="C63" s="152"/>
      <c r="D63" s="177"/>
      <c r="E63" s="152"/>
      <c r="F63" s="178"/>
      <c r="G63" s="178"/>
      <c r="H63" s="179">
        <f>354300.64+43323.69</f>
        <v>397624.33</v>
      </c>
      <c r="I63" s="180">
        <f>H61+H62-H63</f>
        <v>-76322.960000000021</v>
      </c>
      <c r="J63" s="214" t="s">
        <v>195</v>
      </c>
      <c r="K63" s="215"/>
      <c r="L63" s="113"/>
    </row>
    <row r="64" spans="2:12" ht="4.5" customHeight="1" thickBot="1" x14ac:dyDescent="0.3">
      <c r="B64" s="170"/>
      <c r="C64" s="4"/>
      <c r="D64" s="74"/>
      <c r="E64" s="4"/>
      <c r="F64" s="123"/>
      <c r="G64" s="123"/>
      <c r="H64" s="123"/>
      <c r="I64" s="171"/>
      <c r="J64" s="167"/>
    </row>
    <row r="65" spans="2:10" s="188" customFormat="1" ht="19.5" thickBot="1" x14ac:dyDescent="0.35">
      <c r="B65" s="182" t="s">
        <v>177</v>
      </c>
      <c r="C65" s="183"/>
      <c r="D65" s="184"/>
      <c r="E65" s="183"/>
      <c r="F65" s="185"/>
      <c r="G65" s="185"/>
      <c r="H65" s="185"/>
      <c r="I65" s="186">
        <f>I58+I63</f>
        <v>52805.529999999737</v>
      </c>
      <c r="J65" s="187"/>
    </row>
    <row r="66" spans="2:10" ht="15.75" thickBot="1" x14ac:dyDescent="0.3"/>
    <row r="67" spans="2:10" ht="8.25" customHeight="1" x14ac:dyDescent="0.25">
      <c r="B67" s="189"/>
      <c r="C67" s="190"/>
      <c r="D67" s="191"/>
      <c r="E67" s="190"/>
      <c r="F67" s="190"/>
      <c r="G67" s="192"/>
    </row>
    <row r="68" spans="2:10" ht="18.75" x14ac:dyDescent="0.3">
      <c r="B68" s="193" t="s">
        <v>178</v>
      </c>
      <c r="C68" s="165"/>
      <c r="D68" s="74"/>
      <c r="E68" s="4"/>
      <c r="F68" s="4"/>
      <c r="G68" s="194"/>
    </row>
    <row r="69" spans="2:10" ht="6.75" customHeight="1" x14ac:dyDescent="0.25">
      <c r="B69" s="164"/>
      <c r="C69" s="165"/>
      <c r="D69" s="74"/>
      <c r="E69" s="4"/>
      <c r="F69" s="4"/>
      <c r="G69" s="194"/>
    </row>
    <row r="70" spans="2:10" x14ac:dyDescent="0.25">
      <c r="B70" s="164" t="s">
        <v>179</v>
      </c>
      <c r="C70" s="165"/>
      <c r="D70" s="74"/>
      <c r="E70" s="4"/>
      <c r="F70" s="168"/>
      <c r="G70" s="169" t="s">
        <v>180</v>
      </c>
    </row>
    <row r="71" spans="2:10" ht="10.5" customHeight="1" x14ac:dyDescent="0.25">
      <c r="B71" s="170"/>
      <c r="C71" s="4"/>
      <c r="D71" s="74"/>
      <c r="E71" s="4"/>
      <c r="F71" s="168"/>
      <c r="G71" s="169"/>
    </row>
    <row r="72" spans="2:10" x14ac:dyDescent="0.25">
      <c r="B72" s="170" t="s">
        <v>181</v>
      </c>
      <c r="C72" s="4"/>
      <c r="D72" s="74"/>
      <c r="E72" s="4"/>
      <c r="F72" s="195"/>
      <c r="G72" s="196">
        <v>965802.05</v>
      </c>
    </row>
    <row r="73" spans="2:10" x14ac:dyDescent="0.25">
      <c r="B73" s="170" t="s">
        <v>182</v>
      </c>
      <c r="C73" s="4"/>
      <c r="D73" s="74"/>
      <c r="E73" s="4"/>
      <c r="F73" s="123"/>
      <c r="G73" s="197">
        <f>F74+F75+F76-F82</f>
        <v>411275.75</v>
      </c>
    </row>
    <row r="74" spans="2:10" x14ac:dyDescent="0.25">
      <c r="B74" s="170" t="s">
        <v>183</v>
      </c>
      <c r="C74" s="4"/>
      <c r="D74" s="74"/>
      <c r="E74" s="4"/>
      <c r="F74" s="198">
        <v>404729.78</v>
      </c>
      <c r="G74" s="197"/>
    </row>
    <row r="75" spans="2:10" x14ac:dyDescent="0.25">
      <c r="B75" s="170" t="s">
        <v>184</v>
      </c>
      <c r="C75" s="4"/>
      <c r="D75" s="74"/>
      <c r="E75" s="4"/>
      <c r="F75" s="198">
        <v>0</v>
      </c>
      <c r="G75" s="197"/>
    </row>
    <row r="76" spans="2:10" x14ac:dyDescent="0.25">
      <c r="B76" s="170" t="s">
        <v>185</v>
      </c>
      <c r="C76" s="4"/>
      <c r="D76" s="74"/>
      <c r="E76" s="4"/>
      <c r="F76" s="198">
        <v>6545.97</v>
      </c>
      <c r="G76" s="197"/>
    </row>
    <row r="77" spans="2:10" x14ac:dyDescent="0.25">
      <c r="B77" s="170" t="s">
        <v>186</v>
      </c>
      <c r="C77" s="4"/>
      <c r="D77" s="74"/>
      <c r="E77" s="4"/>
      <c r="F77" s="198"/>
      <c r="G77" s="197">
        <f>F78+F79+F80</f>
        <v>518261.89</v>
      </c>
    </row>
    <row r="78" spans="2:10" x14ac:dyDescent="0.25">
      <c r="B78" s="170" t="s">
        <v>183</v>
      </c>
      <c r="C78" s="4"/>
      <c r="D78" s="74"/>
      <c r="E78" s="4"/>
      <c r="F78" s="198">
        <v>328652.46000000002</v>
      </c>
      <c r="G78" s="197"/>
    </row>
    <row r="79" spans="2:10" x14ac:dyDescent="0.25">
      <c r="B79" s="170" t="s">
        <v>184</v>
      </c>
      <c r="C79" s="4"/>
      <c r="D79" s="74"/>
      <c r="E79" s="4"/>
      <c r="F79" s="198">
        <v>149.38</v>
      </c>
      <c r="G79" s="197"/>
    </row>
    <row r="80" spans="2:10" x14ac:dyDescent="0.25">
      <c r="B80" s="170" t="s">
        <v>185</v>
      </c>
      <c r="C80" s="4"/>
      <c r="D80" s="74"/>
      <c r="E80" s="4"/>
      <c r="F80" s="198">
        <v>189460.05</v>
      </c>
      <c r="G80" s="197"/>
    </row>
    <row r="81" spans="2:8" x14ac:dyDescent="0.25">
      <c r="B81" s="170" t="s">
        <v>187</v>
      </c>
      <c r="C81" s="4"/>
      <c r="D81" s="74"/>
      <c r="E81" s="4"/>
      <c r="F81" s="129"/>
      <c r="G81" s="197">
        <f>F82+F83</f>
        <v>0</v>
      </c>
    </row>
    <row r="82" spans="2:8" x14ac:dyDescent="0.25">
      <c r="B82" s="170" t="s">
        <v>188</v>
      </c>
      <c r="C82" s="4"/>
      <c r="D82" s="74"/>
      <c r="E82" s="4"/>
      <c r="F82" s="129">
        <v>0</v>
      </c>
      <c r="G82" s="197"/>
    </row>
    <row r="83" spans="2:8" x14ac:dyDescent="0.25">
      <c r="B83" s="170" t="s">
        <v>189</v>
      </c>
      <c r="C83" s="4"/>
      <c r="D83" s="74"/>
      <c r="E83" s="4"/>
      <c r="F83" s="129">
        <v>0</v>
      </c>
      <c r="G83" s="197"/>
    </row>
    <row r="84" spans="2:8" x14ac:dyDescent="0.25">
      <c r="B84" s="170"/>
      <c r="C84" s="4"/>
      <c r="D84" s="74"/>
      <c r="E84" s="4"/>
      <c r="F84" s="198"/>
      <c r="G84" s="197"/>
    </row>
    <row r="85" spans="2:8" x14ac:dyDescent="0.25">
      <c r="B85" s="170" t="s">
        <v>190</v>
      </c>
      <c r="C85" s="4"/>
      <c r="D85" s="74"/>
      <c r="E85" s="4"/>
      <c r="F85" s="123"/>
      <c r="G85" s="197">
        <f>G72+G73-G77+G81</f>
        <v>858815.91</v>
      </c>
    </row>
    <row r="86" spans="2:8" x14ac:dyDescent="0.25">
      <c r="B86" s="170"/>
      <c r="C86" s="4"/>
      <c r="D86" s="74"/>
      <c r="E86" s="4"/>
      <c r="F86" s="123"/>
      <c r="G86" s="197"/>
    </row>
    <row r="87" spans="2:8" x14ac:dyDescent="0.25">
      <c r="B87" s="199" t="s">
        <v>191</v>
      </c>
      <c r="C87" s="200"/>
      <c r="D87" s="201"/>
      <c r="E87" s="200"/>
      <c r="F87" s="202"/>
      <c r="G87" s="203">
        <v>0</v>
      </c>
    </row>
    <row r="88" spans="2:8" x14ac:dyDescent="0.25">
      <c r="B88" s="204" t="s">
        <v>192</v>
      </c>
      <c r="C88" s="205"/>
      <c r="D88" s="206"/>
      <c r="E88" s="205"/>
      <c r="F88" s="172"/>
      <c r="G88" s="207">
        <v>354300.64</v>
      </c>
    </row>
    <row r="89" spans="2:8" ht="5.25" customHeight="1" x14ac:dyDescent="0.25">
      <c r="B89" s="170"/>
      <c r="C89" s="4"/>
      <c r="D89" s="74"/>
      <c r="E89" s="4"/>
      <c r="F89" s="123"/>
      <c r="G89" s="197"/>
    </row>
    <row r="90" spans="2:8" ht="19.5" thickBot="1" x14ac:dyDescent="0.35">
      <c r="B90" s="182" t="s">
        <v>193</v>
      </c>
      <c r="C90" s="183"/>
      <c r="D90" s="184"/>
      <c r="E90" s="183"/>
      <c r="F90" s="185"/>
      <c r="G90" s="208">
        <f>G85-G87-G88</f>
        <v>504515.27</v>
      </c>
      <c r="H90" s="188"/>
    </row>
  </sheetData>
  <mergeCells count="3">
    <mergeCell ref="B2:F2"/>
    <mergeCell ref="J62:K62"/>
    <mergeCell ref="J63:K63"/>
  </mergeCells>
  <printOptions horizontalCentered="1"/>
  <pageMargins left="0" right="0" top="0.39370078740157483" bottom="0.39370078740157483" header="0.31496062992125984" footer="0.15748031496062992"/>
  <pageSetup paperSize="9" scale="75" fitToHeight="0" orientation="landscape" r:id="rId1"/>
  <headerFooter>
    <oddFooter>&amp;CEstat d'execució del pressupost de l'IERMB a 31/12/2020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5"/>
  <sheetViews>
    <sheetView showGridLines="0" zoomScaleNormal="100" zoomScaleSheetLayoutView="100" zoomScalePageLayoutView="96" workbookViewId="0">
      <selection activeCell="G33" sqref="G33"/>
    </sheetView>
  </sheetViews>
  <sheetFormatPr baseColWidth="10" defaultRowHeight="15" x14ac:dyDescent="0.25"/>
  <cols>
    <col min="1" max="1" width="2.7109375" customWidth="1"/>
    <col min="2" max="2" width="10.7109375" customWidth="1"/>
    <col min="3" max="3" width="6.85546875" customWidth="1"/>
    <col min="4" max="4" width="49" customWidth="1"/>
    <col min="5" max="5" width="33.7109375" customWidth="1"/>
    <col min="6" max="6" width="15.28515625" customWidth="1"/>
    <col min="7" max="7" width="13.5703125" customWidth="1"/>
    <col min="8" max="8" width="15.28515625" customWidth="1"/>
    <col min="9" max="9" width="16.85546875" customWidth="1"/>
    <col min="10" max="10" width="14.7109375" customWidth="1"/>
    <col min="11" max="11" width="15.28515625" customWidth="1"/>
    <col min="12" max="12" width="14" customWidth="1"/>
  </cols>
  <sheetData>
    <row r="2" spans="1:13" ht="15.75" thickBot="1" x14ac:dyDescent="0.3"/>
    <row r="3" spans="1:13" s="19" customFormat="1" ht="18" thickBot="1" x14ac:dyDescent="0.35">
      <c r="A3" s="44" t="s">
        <v>103</v>
      </c>
      <c r="B3" s="45"/>
      <c r="C3" s="45"/>
      <c r="D3" s="45"/>
      <c r="E3" s="45"/>
      <c r="F3" s="88">
        <f t="shared" ref="F3:L3" si="0">F7</f>
        <v>1482392.24</v>
      </c>
      <c r="G3" s="88">
        <f t="shared" si="0"/>
        <v>599217.93999999983</v>
      </c>
      <c r="H3" s="88">
        <f t="shared" si="0"/>
        <v>2081610.18</v>
      </c>
      <c r="I3" s="88">
        <f t="shared" si="0"/>
        <v>2058980.5399999996</v>
      </c>
      <c r="J3" s="88">
        <f t="shared" si="0"/>
        <v>367229.78</v>
      </c>
      <c r="K3" s="88">
        <f t="shared" si="0"/>
        <v>1691750.76</v>
      </c>
      <c r="L3" s="88">
        <f t="shared" si="0"/>
        <v>-22629.639999999956</v>
      </c>
    </row>
    <row r="4" spans="1:13" ht="15.75" thickBot="1" x14ac:dyDescent="0.3"/>
    <row r="5" spans="1:13" s="30" customFormat="1" ht="30.75" thickBot="1" x14ac:dyDescent="0.3">
      <c r="A5" s="46"/>
      <c r="B5" s="29" t="s">
        <v>62</v>
      </c>
      <c r="C5" s="75"/>
      <c r="D5" s="84" t="s">
        <v>3</v>
      </c>
      <c r="E5" s="76"/>
      <c r="F5" s="77" t="s">
        <v>82</v>
      </c>
      <c r="G5" s="101" t="s">
        <v>129</v>
      </c>
      <c r="H5" s="101" t="s">
        <v>130</v>
      </c>
      <c r="I5" s="124" t="s">
        <v>154</v>
      </c>
      <c r="J5" s="125" t="s">
        <v>131</v>
      </c>
      <c r="K5" s="126" t="s">
        <v>132</v>
      </c>
      <c r="L5" s="127" t="s">
        <v>133</v>
      </c>
    </row>
    <row r="6" spans="1:13" x14ac:dyDescent="0.25">
      <c r="B6" s="31"/>
      <c r="C6" s="32"/>
      <c r="D6" s="6"/>
      <c r="E6" s="6"/>
      <c r="F6" s="33"/>
    </row>
    <row r="7" spans="1:13" ht="15.75" thickBot="1" x14ac:dyDescent="0.3">
      <c r="B7" s="48">
        <v>3</v>
      </c>
      <c r="C7" s="49" t="s">
        <v>86</v>
      </c>
      <c r="D7" s="50"/>
      <c r="E7" s="50"/>
      <c r="F7" s="51">
        <f>F9+F8+F22+F27</f>
        <v>1482392.24</v>
      </c>
      <c r="G7" s="51">
        <f t="shared" ref="G7:H7" si="1">G9+G8+G22+G27</f>
        <v>599217.93999999983</v>
      </c>
      <c r="H7" s="51">
        <f t="shared" si="1"/>
        <v>2081610.18</v>
      </c>
      <c r="I7" s="51">
        <f>I9+I8+I22+I27</f>
        <v>2058980.5399999996</v>
      </c>
      <c r="J7" s="51">
        <f t="shared" ref="J7:L7" si="2">J9+J8+J22+J27</f>
        <v>367229.78</v>
      </c>
      <c r="K7" s="51">
        <f>K9+K8+K22+K27</f>
        <v>1691750.76</v>
      </c>
      <c r="L7" s="51">
        <f t="shared" si="2"/>
        <v>-22629.639999999956</v>
      </c>
    </row>
    <row r="8" spans="1:13" s="3" customFormat="1" ht="15.75" thickTop="1" x14ac:dyDescent="0.25">
      <c r="B8" s="83">
        <v>36001</v>
      </c>
      <c r="C8" s="16" t="s">
        <v>4</v>
      </c>
      <c r="D8" s="17"/>
      <c r="E8" s="17"/>
      <c r="F8" s="25">
        <v>150</v>
      </c>
      <c r="G8" s="25">
        <v>0</v>
      </c>
      <c r="H8" s="25">
        <f>F8+G8</f>
        <v>150</v>
      </c>
      <c r="I8" s="130">
        <v>14.42</v>
      </c>
      <c r="J8" s="131">
        <f>I8-K8</f>
        <v>0</v>
      </c>
      <c r="K8" s="130">
        <v>14.42</v>
      </c>
      <c r="L8" s="131">
        <f>I8-H8</f>
        <v>-135.58000000000001</v>
      </c>
      <c r="M8"/>
    </row>
    <row r="9" spans="1:13" x14ac:dyDescent="0.25">
      <c r="B9" s="80">
        <v>39900</v>
      </c>
      <c r="C9" s="52" t="s">
        <v>88</v>
      </c>
      <c r="D9" s="53"/>
      <c r="E9" s="53"/>
      <c r="F9" s="54">
        <f t="shared" ref="F9:H9" si="3">SUM(F10:F21)</f>
        <v>1482242.24</v>
      </c>
      <c r="G9" s="54">
        <f>SUM(G10:G21)</f>
        <v>527775.36999999988</v>
      </c>
      <c r="H9" s="54">
        <f t="shared" si="3"/>
        <v>2010017.6099999999</v>
      </c>
      <c r="I9" s="54">
        <f>SUM(I10:I21)</f>
        <v>1328085.2699999998</v>
      </c>
      <c r="J9" s="54">
        <f>SUM(J10:J21)</f>
        <v>271084.32</v>
      </c>
      <c r="K9" s="54">
        <f t="shared" ref="K9" si="4">SUM(K10:K21)</f>
        <v>1057000.95</v>
      </c>
      <c r="L9" s="54">
        <f>SUM(L10:L21)</f>
        <v>-681932.34</v>
      </c>
    </row>
    <row r="10" spans="1:13" x14ac:dyDescent="0.25">
      <c r="B10" s="81"/>
      <c r="C10" s="67"/>
      <c r="D10" s="72" t="s">
        <v>106</v>
      </c>
      <c r="E10" s="73" t="s">
        <v>105</v>
      </c>
      <c r="F10" s="111">
        <f>349760.86+303740.44</f>
        <v>653501.30000000005</v>
      </c>
      <c r="G10" s="12">
        <v>241264.71</v>
      </c>
      <c r="H10" s="12">
        <f>F10+G10</f>
        <v>894766.01</v>
      </c>
      <c r="I10" s="12">
        <f>29146.74*6+49252.14*6+120632.31</f>
        <v>591025.59</v>
      </c>
      <c r="J10" s="12">
        <f>I10-K10</f>
        <v>49252.140000000014</v>
      </c>
      <c r="K10" s="12">
        <f>29146.74*6+49252.14*5+120632.31</f>
        <v>541773.44999999995</v>
      </c>
      <c r="L10" s="12">
        <f>I10-H10</f>
        <v>-303740.42000000004</v>
      </c>
    </row>
    <row r="11" spans="1:13" x14ac:dyDescent="0.25">
      <c r="B11" s="81"/>
      <c r="C11" s="67"/>
      <c r="D11" s="72" t="s">
        <v>115</v>
      </c>
      <c r="E11" s="73" t="s">
        <v>105</v>
      </c>
      <c r="F11" s="111">
        <v>24000</v>
      </c>
      <c r="G11" s="12">
        <v>11549.32</v>
      </c>
      <c r="H11" s="12">
        <f>F11+G11</f>
        <v>35549.32</v>
      </c>
      <c r="I11" s="12">
        <f>9981.66+25567.66</f>
        <v>35549.32</v>
      </c>
      <c r="J11" s="12">
        <f>I11-K11</f>
        <v>25567.66</v>
      </c>
      <c r="K11" s="12">
        <v>9981.66</v>
      </c>
      <c r="L11" s="12">
        <f>I11-H11</f>
        <v>0</v>
      </c>
    </row>
    <row r="12" spans="1:13" x14ac:dyDescent="0.25">
      <c r="B12" s="81"/>
      <c r="C12" s="67"/>
      <c r="D12" s="144" t="s">
        <v>152</v>
      </c>
      <c r="E12" s="73" t="s">
        <v>119</v>
      </c>
      <c r="F12" s="111">
        <v>0</v>
      </c>
      <c r="G12" s="12">
        <v>175016.43</v>
      </c>
      <c r="H12" s="12">
        <f t="shared" ref="H12:H13" si="5">F12+G12</f>
        <v>175016.43</v>
      </c>
      <c r="I12" s="12">
        <f>87508.21+87508.22</f>
        <v>175016.43</v>
      </c>
      <c r="J12" s="12">
        <f t="shared" ref="J12:J13" si="6">I12-K12</f>
        <v>87508.219999999987</v>
      </c>
      <c r="K12" s="12">
        <v>87508.21</v>
      </c>
      <c r="L12" s="12">
        <f t="shared" ref="L12:L13" si="7">I12-H12</f>
        <v>0</v>
      </c>
    </row>
    <row r="13" spans="1:13" x14ac:dyDescent="0.25">
      <c r="B13" s="81"/>
      <c r="C13" s="67"/>
      <c r="D13" s="144" t="s">
        <v>153</v>
      </c>
      <c r="E13" s="73" t="s">
        <v>119</v>
      </c>
      <c r="F13" s="111">
        <v>0</v>
      </c>
      <c r="G13" s="12">
        <v>28875</v>
      </c>
      <c r="H13" s="12">
        <f t="shared" si="5"/>
        <v>28875</v>
      </c>
      <c r="I13" s="12">
        <v>28875</v>
      </c>
      <c r="J13" s="12">
        <f t="shared" si="6"/>
        <v>28875</v>
      </c>
      <c r="K13" s="12">
        <v>0</v>
      </c>
      <c r="L13" s="12">
        <f t="shared" si="7"/>
        <v>0</v>
      </c>
    </row>
    <row r="14" spans="1:13" s="2" customFormat="1" x14ac:dyDescent="0.25">
      <c r="B14" s="81"/>
      <c r="C14" s="121"/>
      <c r="D14" s="73" t="s">
        <v>71</v>
      </c>
      <c r="E14" s="73" t="s">
        <v>48</v>
      </c>
      <c r="F14" s="12">
        <f>63464.4+253857.6</f>
        <v>317322</v>
      </c>
      <c r="G14" s="12">
        <v>55801.22</v>
      </c>
      <c r="H14" s="12">
        <f t="shared" ref="H14:H20" si="8">F14+G14</f>
        <v>373123.22</v>
      </c>
      <c r="I14" s="12">
        <f>36655.43+59860.12+73310.87+183277.18</f>
        <v>353103.6</v>
      </c>
      <c r="J14" s="12">
        <f>I14-K14</f>
        <v>0</v>
      </c>
      <c r="K14" s="12">
        <f>36655.43+59860.12+73310.87+183277.18</f>
        <v>353103.6</v>
      </c>
      <c r="L14" s="12">
        <f t="shared" ref="L14:L21" si="9">I14-H14</f>
        <v>-20019.619999999995</v>
      </c>
      <c r="M14"/>
    </row>
    <row r="15" spans="1:13" s="2" customFormat="1" x14ac:dyDescent="0.25">
      <c r="B15" s="81"/>
      <c r="C15" s="121"/>
      <c r="D15" s="73" t="s">
        <v>111</v>
      </c>
      <c r="E15" s="114" t="s">
        <v>112</v>
      </c>
      <c r="F15" s="12">
        <v>6000</v>
      </c>
      <c r="G15" s="12">
        <v>0</v>
      </c>
      <c r="H15" s="12">
        <f t="shared" si="8"/>
        <v>6000</v>
      </c>
      <c r="I15" s="12">
        <v>3966.94</v>
      </c>
      <c r="J15" s="12">
        <f t="shared" ref="J15:J21" si="10">I15-K15</f>
        <v>0</v>
      </c>
      <c r="K15" s="12">
        <v>3966.94</v>
      </c>
      <c r="L15" s="12">
        <f t="shared" si="9"/>
        <v>-2033.06</v>
      </c>
      <c r="M15"/>
    </row>
    <row r="16" spans="1:13" s="65" customFormat="1" x14ac:dyDescent="0.25">
      <c r="B16" s="82"/>
      <c r="C16" s="121"/>
      <c r="D16" s="73" t="s">
        <v>113</v>
      </c>
      <c r="E16" s="73" t="s">
        <v>156</v>
      </c>
      <c r="F16" s="12">
        <v>10164</v>
      </c>
      <c r="G16" s="12">
        <v>0</v>
      </c>
      <c r="H16" s="12">
        <f t="shared" si="8"/>
        <v>10164</v>
      </c>
      <c r="I16" s="12">
        <v>20310</v>
      </c>
      <c r="J16" s="12">
        <f t="shared" si="10"/>
        <v>20310</v>
      </c>
      <c r="K16" s="12">
        <v>0</v>
      </c>
      <c r="L16" s="12">
        <f t="shared" si="9"/>
        <v>10146</v>
      </c>
      <c r="M16"/>
    </row>
    <row r="17" spans="2:14" s="65" customFormat="1" x14ac:dyDescent="0.25">
      <c r="B17" s="82"/>
      <c r="C17" s="121"/>
      <c r="D17" s="73" t="s">
        <v>114</v>
      </c>
      <c r="E17" s="73" t="s">
        <v>157</v>
      </c>
      <c r="F17" s="12">
        <v>10164</v>
      </c>
      <c r="G17" s="12">
        <v>0</v>
      </c>
      <c r="H17" s="12">
        <f t="shared" si="8"/>
        <v>10164</v>
      </c>
      <c r="I17" s="12">
        <v>0</v>
      </c>
      <c r="J17" s="12">
        <f t="shared" si="10"/>
        <v>0</v>
      </c>
      <c r="K17" s="12">
        <v>0</v>
      </c>
      <c r="L17" s="12">
        <f t="shared" si="9"/>
        <v>-10164</v>
      </c>
      <c r="M17"/>
    </row>
    <row r="18" spans="2:14" s="65" customFormat="1" x14ac:dyDescent="0.25">
      <c r="B18" s="82"/>
      <c r="C18" s="121"/>
      <c r="D18" s="73" t="s">
        <v>126</v>
      </c>
      <c r="E18" s="73" t="s">
        <v>119</v>
      </c>
      <c r="F18" s="12">
        <f>87308.72*3</f>
        <v>261926.16</v>
      </c>
      <c r="G18" s="12">
        <v>0</v>
      </c>
      <c r="H18" s="12">
        <f t="shared" si="8"/>
        <v>261926.16</v>
      </c>
      <c r="I18" s="12">
        <v>0</v>
      </c>
      <c r="J18" s="12">
        <f t="shared" si="10"/>
        <v>0</v>
      </c>
      <c r="K18" s="12">
        <v>0</v>
      </c>
      <c r="L18" s="12">
        <f t="shared" si="9"/>
        <v>-261926.16</v>
      </c>
      <c r="M18"/>
    </row>
    <row r="19" spans="2:14" s="65" customFormat="1" x14ac:dyDescent="0.25">
      <c r="B19" s="82"/>
      <c r="C19" s="121"/>
      <c r="D19" s="73" t="s">
        <v>127</v>
      </c>
      <c r="E19" s="73" t="s">
        <v>120</v>
      </c>
      <c r="F19" s="12">
        <v>87308.72</v>
      </c>
      <c r="G19" s="12">
        <v>0</v>
      </c>
      <c r="H19" s="12">
        <f t="shared" si="8"/>
        <v>87308.72</v>
      </c>
      <c r="I19" s="12">
        <v>0</v>
      </c>
      <c r="J19" s="12">
        <f t="shared" si="10"/>
        <v>0</v>
      </c>
      <c r="K19" s="12">
        <v>0</v>
      </c>
      <c r="L19" s="12">
        <f t="shared" si="9"/>
        <v>-87308.72</v>
      </c>
      <c r="M19"/>
    </row>
    <row r="20" spans="2:14" x14ac:dyDescent="0.25">
      <c r="C20" s="74"/>
      <c r="D20" s="73" t="s">
        <v>121</v>
      </c>
      <c r="E20" s="73" t="s">
        <v>120</v>
      </c>
      <c r="F20" s="12">
        <v>10000</v>
      </c>
      <c r="G20" s="12">
        <v>0</v>
      </c>
      <c r="H20" s="12">
        <f t="shared" si="8"/>
        <v>10000</v>
      </c>
      <c r="I20" s="12">
        <v>0</v>
      </c>
      <c r="J20" s="12">
        <f t="shared" si="10"/>
        <v>0</v>
      </c>
      <c r="K20" s="12">
        <v>0</v>
      </c>
      <c r="L20" s="12">
        <f t="shared" si="9"/>
        <v>-10000</v>
      </c>
    </row>
    <row r="21" spans="2:14" x14ac:dyDescent="0.25">
      <c r="C21" s="74"/>
      <c r="D21" s="73" t="s">
        <v>77</v>
      </c>
      <c r="E21" s="73" t="s">
        <v>78</v>
      </c>
      <c r="F21" s="12">
        <f>63677.58+24779.31+13399.17</f>
        <v>101856.06</v>
      </c>
      <c r="G21" s="12">
        <f>13431+1837.69</f>
        <v>15268.69</v>
      </c>
      <c r="H21" s="12">
        <f>F21+G21</f>
        <v>117124.75</v>
      </c>
      <c r="I21" s="12">
        <f>4250+3850+5013.64+8964.42+8000+5976.28+3700+13431+14963.27+32000+5949.48+14140.3</f>
        <v>120238.39</v>
      </c>
      <c r="J21" s="12">
        <f t="shared" si="10"/>
        <v>59571.3</v>
      </c>
      <c r="K21" s="12">
        <f>4250+3850+8964.42+5013.64+8000+5976.28+3700+14963.27+5949.48</f>
        <v>60667.09</v>
      </c>
      <c r="L21" s="12">
        <f t="shared" si="9"/>
        <v>3113.6399999999994</v>
      </c>
      <c r="N21" s="153"/>
    </row>
    <row r="22" spans="2:14" x14ac:dyDescent="0.25">
      <c r="B22" s="80">
        <v>39901</v>
      </c>
      <c r="C22" s="52" t="s">
        <v>145</v>
      </c>
      <c r="D22" s="53"/>
      <c r="E22" s="53"/>
      <c r="F22" s="54">
        <f>SUM(F23:F26)</f>
        <v>0</v>
      </c>
      <c r="G22" s="54">
        <f t="shared" ref="G22:L22" si="11">SUM(G23:G26)</f>
        <v>46242.57</v>
      </c>
      <c r="H22" s="54">
        <f t="shared" si="11"/>
        <v>46242.57</v>
      </c>
      <c r="I22" s="54">
        <f t="shared" si="11"/>
        <v>411490.45</v>
      </c>
      <c r="J22" s="54">
        <f t="shared" si="11"/>
        <v>69392.100000000006</v>
      </c>
      <c r="K22" s="54">
        <f>SUM(K23:K26)</f>
        <v>342098.35000000003</v>
      </c>
      <c r="L22" s="54">
        <f t="shared" si="11"/>
        <v>365247.88</v>
      </c>
    </row>
    <row r="23" spans="2:14" x14ac:dyDescent="0.25">
      <c r="B23" s="81"/>
      <c r="C23" s="67"/>
      <c r="D23" s="73" t="s">
        <v>126</v>
      </c>
      <c r="E23" s="73" t="s">
        <v>119</v>
      </c>
      <c r="F23" s="111">
        <v>0</v>
      </c>
      <c r="G23" s="12">
        <v>0</v>
      </c>
      <c r="H23" s="12">
        <f t="shared" ref="H23:H26" si="12">F23+G23</f>
        <v>0</v>
      </c>
      <c r="I23" s="12">
        <f>170252.01+91674.15</f>
        <v>261926.16</v>
      </c>
      <c r="J23" s="12">
        <f t="shared" ref="J23:J26" si="13">I23-K23</f>
        <v>0</v>
      </c>
      <c r="K23" s="12">
        <f>170252.01+91674.15</f>
        <v>261926.16</v>
      </c>
      <c r="L23" s="12">
        <f t="shared" ref="L23:L26" si="14">I23-H23</f>
        <v>261926.16</v>
      </c>
    </row>
    <row r="24" spans="2:14" x14ac:dyDescent="0.25">
      <c r="D24" s="73" t="s">
        <v>127</v>
      </c>
      <c r="E24" s="73" t="s">
        <v>120</v>
      </c>
      <c r="F24" s="12">
        <v>0</v>
      </c>
      <c r="G24" s="12">
        <v>0</v>
      </c>
      <c r="H24" s="12">
        <f t="shared" si="12"/>
        <v>0</v>
      </c>
      <c r="I24" s="12">
        <f>56750.67+30558.05</f>
        <v>87308.72</v>
      </c>
      <c r="J24" s="12">
        <f t="shared" si="13"/>
        <v>30558.050000000003</v>
      </c>
      <c r="K24" s="12">
        <v>56750.67</v>
      </c>
      <c r="L24" s="12">
        <f t="shared" si="14"/>
        <v>87308.72</v>
      </c>
    </row>
    <row r="25" spans="2:14" x14ac:dyDescent="0.25">
      <c r="D25" s="73" t="s">
        <v>121</v>
      </c>
      <c r="E25" s="73" t="s">
        <v>120</v>
      </c>
      <c r="F25" s="12">
        <v>0</v>
      </c>
      <c r="G25" s="12">
        <v>25234.05</v>
      </c>
      <c r="H25" s="12">
        <f t="shared" si="12"/>
        <v>25234.05</v>
      </c>
      <c r="I25" s="12">
        <f>14413+35234.05</f>
        <v>49647.05</v>
      </c>
      <c r="J25" s="12">
        <f t="shared" si="13"/>
        <v>35234.050000000003</v>
      </c>
      <c r="K25" s="12">
        <f>14413</f>
        <v>14413</v>
      </c>
      <c r="L25" s="12">
        <f t="shared" si="14"/>
        <v>24413.000000000004</v>
      </c>
    </row>
    <row r="26" spans="2:14" x14ac:dyDescent="0.25">
      <c r="C26" s="2"/>
      <c r="D26" s="73" t="s">
        <v>77</v>
      </c>
      <c r="E26" s="73" t="s">
        <v>78</v>
      </c>
      <c r="F26" s="12">
        <v>0</v>
      </c>
      <c r="G26" s="12">
        <f>12000+9008.52</f>
        <v>21008.52</v>
      </c>
      <c r="H26" s="12">
        <f t="shared" si="12"/>
        <v>21008.52</v>
      </c>
      <c r="I26" s="12">
        <f>3600+9008.52</f>
        <v>12608.52</v>
      </c>
      <c r="J26" s="12">
        <f t="shared" si="13"/>
        <v>3600</v>
      </c>
      <c r="K26" s="12">
        <f>9008.52</f>
        <v>9008.52</v>
      </c>
      <c r="L26" s="12">
        <f t="shared" si="14"/>
        <v>-8400</v>
      </c>
    </row>
    <row r="27" spans="2:14" x14ac:dyDescent="0.25">
      <c r="B27" s="80">
        <v>39902</v>
      </c>
      <c r="C27" s="52" t="s">
        <v>144</v>
      </c>
      <c r="D27" s="53"/>
      <c r="E27" s="53"/>
      <c r="F27" s="54">
        <f>SUM(F28:F29)</f>
        <v>0</v>
      </c>
      <c r="G27" s="54">
        <f>SUM(G28:G29)</f>
        <v>25200</v>
      </c>
      <c r="H27" s="54">
        <f t="shared" ref="H27:L27" si="15">SUM(H28:H29)</f>
        <v>25200</v>
      </c>
      <c r="I27" s="54">
        <f t="shared" si="15"/>
        <v>319390.39999999997</v>
      </c>
      <c r="J27" s="54">
        <f t="shared" si="15"/>
        <v>26753.359999999986</v>
      </c>
      <c r="K27" s="54">
        <f t="shared" si="15"/>
        <v>292637.03999999998</v>
      </c>
      <c r="L27" s="54">
        <f t="shared" si="15"/>
        <v>294190.39999999997</v>
      </c>
    </row>
    <row r="28" spans="2:14" x14ac:dyDescent="0.25">
      <c r="B28" s="81"/>
      <c r="C28" s="67"/>
      <c r="D28" s="72" t="s">
        <v>106</v>
      </c>
      <c r="E28" s="73" t="s">
        <v>105</v>
      </c>
      <c r="F28" s="111">
        <v>0</v>
      </c>
      <c r="G28" s="12">
        <v>15500</v>
      </c>
      <c r="H28" s="12">
        <f>F28+G28</f>
        <v>15500</v>
      </c>
      <c r="I28" s="12">
        <f>25311.7*6+26603.36*6+7750.04</f>
        <v>319240.39999999997</v>
      </c>
      <c r="J28" s="12">
        <f>I28-K28</f>
        <v>26603.359999999986</v>
      </c>
      <c r="K28" s="12">
        <f>25311.7*6+26603.36*5+7750.04</f>
        <v>292637.03999999998</v>
      </c>
      <c r="L28" s="12">
        <f>I28-H28</f>
        <v>303740.39999999997</v>
      </c>
    </row>
    <row r="29" spans="2:14" x14ac:dyDescent="0.25">
      <c r="B29" s="81"/>
      <c r="C29" s="151"/>
      <c r="D29" s="73" t="s">
        <v>77</v>
      </c>
      <c r="E29" s="73" t="s">
        <v>78</v>
      </c>
      <c r="F29" s="12">
        <v>0</v>
      </c>
      <c r="G29" s="12">
        <f>9700</f>
        <v>9700</v>
      </c>
      <c r="H29" s="12">
        <f>F29+G29</f>
        <v>9700</v>
      </c>
      <c r="I29" s="12">
        <f>150</f>
        <v>150</v>
      </c>
      <c r="J29" s="12">
        <f>I29-K29</f>
        <v>150</v>
      </c>
      <c r="K29" s="12">
        <v>0</v>
      </c>
      <c r="L29" s="12">
        <f>I29-H29</f>
        <v>-9550</v>
      </c>
    </row>
    <row r="30" spans="2:14" x14ac:dyDescent="0.25">
      <c r="F30" s="27"/>
    </row>
    <row r="31" spans="2:14" x14ac:dyDescent="0.25">
      <c r="D31" s="120" t="s">
        <v>122</v>
      </c>
    </row>
    <row r="32" spans="2:14" x14ac:dyDescent="0.25">
      <c r="L32" s="154"/>
    </row>
    <row r="33" spans="12:12" ht="15" customHeight="1" x14ac:dyDescent="0.25">
      <c r="L33" s="154"/>
    </row>
    <row r="34" spans="12:12" ht="15" customHeight="1" x14ac:dyDescent="0.25">
      <c r="L34" s="154"/>
    </row>
    <row r="35" spans="12:12" x14ac:dyDescent="0.25">
      <c r="L35" s="154"/>
    </row>
    <row r="36" spans="12:12" x14ac:dyDescent="0.25">
      <c r="L36" s="154"/>
    </row>
    <row r="37" spans="12:12" x14ac:dyDescent="0.25">
      <c r="L37" s="154"/>
    </row>
    <row r="38" spans="12:12" x14ac:dyDescent="0.25">
      <c r="L38" s="154"/>
    </row>
    <row r="39" spans="12:12" x14ac:dyDescent="0.25">
      <c r="L39" s="154"/>
    </row>
    <row r="40" spans="12:12" x14ac:dyDescent="0.25">
      <c r="L40" s="154"/>
    </row>
    <row r="41" spans="12:12" x14ac:dyDescent="0.25">
      <c r="L41" s="154"/>
    </row>
    <row r="42" spans="12:12" x14ac:dyDescent="0.25">
      <c r="L42" s="154"/>
    </row>
    <row r="43" spans="12:12" x14ac:dyDescent="0.25">
      <c r="L43" s="154"/>
    </row>
    <row r="44" spans="12:12" x14ac:dyDescent="0.25">
      <c r="L44" s="155"/>
    </row>
    <row r="45" spans="12:12" x14ac:dyDescent="0.25">
      <c r="L45" s="154"/>
    </row>
  </sheetData>
  <printOptions horizontalCentered="1"/>
  <pageMargins left="0" right="0" top="0.39370078740157483" bottom="0.39370078740157483" header="0.31496062992125984" footer="0.15748031496062992"/>
  <pageSetup paperSize="9" scale="69" fitToHeight="0" orientation="landscape" r:id="rId1"/>
  <headerFooter>
    <oddFooter>&amp;CEstat d'execució del pressupost de l'IERMB a 31/12/2020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D28" sqref="D28"/>
    </sheetView>
  </sheetViews>
  <sheetFormatPr baseColWidth="10" defaultRowHeight="15" x14ac:dyDescent="0.25"/>
  <cols>
    <col min="1" max="1" width="13.42578125" customWidth="1"/>
    <col min="2" max="2" width="10.7109375" customWidth="1"/>
    <col min="3" max="3" width="7.42578125" customWidth="1"/>
    <col min="4" max="4" width="46.7109375" customWidth="1"/>
    <col min="5" max="5" width="2.5703125" customWidth="1"/>
    <col min="6" max="6" width="18.85546875" customWidth="1"/>
    <col min="7" max="7" width="13.5703125" customWidth="1"/>
    <col min="8" max="8" width="15.42578125" customWidth="1"/>
    <col min="9" max="9" width="16.85546875" customWidth="1"/>
    <col min="10" max="10" width="14.85546875" customWidth="1"/>
    <col min="11" max="11" width="13.85546875" customWidth="1"/>
    <col min="12" max="12" width="14" customWidth="1"/>
    <col min="13" max="13" width="3.42578125" customWidth="1"/>
  </cols>
  <sheetData>
    <row r="1" spans="1:12" x14ac:dyDescent="0.25">
      <c r="A1" s="4"/>
    </row>
    <row r="2" spans="1:12" ht="15.75" customHeight="1" thickBot="1" x14ac:dyDescent="0.3">
      <c r="A2" s="4"/>
    </row>
    <row r="3" spans="1:12" s="19" customFormat="1" ht="18" thickBot="1" x14ac:dyDescent="0.35">
      <c r="A3" s="44" t="s">
        <v>102</v>
      </c>
      <c r="B3" s="45"/>
      <c r="C3" s="45"/>
      <c r="D3" s="45"/>
      <c r="E3" s="45"/>
      <c r="F3" s="88">
        <f>F7</f>
        <v>1685643</v>
      </c>
      <c r="G3" s="88">
        <f t="shared" ref="G3:L3" si="0">G7</f>
        <v>189621.77</v>
      </c>
      <c r="H3" s="88">
        <f t="shared" si="0"/>
        <v>1875264.7699999998</v>
      </c>
      <c r="I3" s="88">
        <f t="shared" si="0"/>
        <v>1734299.77</v>
      </c>
      <c r="J3" s="88">
        <f t="shared" si="0"/>
        <v>37500</v>
      </c>
      <c r="K3" s="88">
        <f t="shared" si="0"/>
        <v>1696799.77</v>
      </c>
      <c r="L3" s="88">
        <f t="shared" si="0"/>
        <v>-140965</v>
      </c>
    </row>
    <row r="4" spans="1:12" ht="15.75" thickBot="1" x14ac:dyDescent="0.3">
      <c r="A4" s="4"/>
    </row>
    <row r="5" spans="1:12" s="30" customFormat="1" ht="48.75" customHeight="1" thickBot="1" x14ac:dyDescent="0.3">
      <c r="A5" s="46"/>
      <c r="B5" s="29" t="s">
        <v>62</v>
      </c>
      <c r="C5" s="75"/>
      <c r="D5" s="84" t="s">
        <v>3</v>
      </c>
      <c r="E5" s="78"/>
      <c r="F5" s="79" t="s">
        <v>83</v>
      </c>
      <c r="G5" s="101" t="s">
        <v>129</v>
      </c>
      <c r="H5" s="101" t="s">
        <v>130</v>
      </c>
      <c r="I5" s="124" t="s">
        <v>154</v>
      </c>
      <c r="J5" s="125" t="s">
        <v>131</v>
      </c>
      <c r="K5" s="126" t="s">
        <v>132</v>
      </c>
      <c r="L5" s="127" t="s">
        <v>133</v>
      </c>
    </row>
    <row r="6" spans="1:12" x14ac:dyDescent="0.25">
      <c r="A6" s="4"/>
    </row>
    <row r="7" spans="1:12" ht="15.75" thickBot="1" x14ac:dyDescent="0.3">
      <c r="A7" s="4"/>
      <c r="B7" s="48">
        <v>4</v>
      </c>
      <c r="C7" s="49" t="s">
        <v>55</v>
      </c>
      <c r="D7" s="50"/>
      <c r="E7" s="50"/>
      <c r="F7" s="51">
        <f>F8+F10+F15+F17+F20+F12</f>
        <v>1685643</v>
      </c>
      <c r="G7" s="51">
        <f t="shared" ref="G7:J7" si="1">G8+G10+G15+G17+G20+G12</f>
        <v>189621.77</v>
      </c>
      <c r="H7" s="51">
        <f t="shared" si="1"/>
        <v>1875264.7699999998</v>
      </c>
      <c r="I7" s="51">
        <f t="shared" si="1"/>
        <v>1734299.77</v>
      </c>
      <c r="J7" s="51">
        <f t="shared" si="1"/>
        <v>37500</v>
      </c>
      <c r="K7" s="51">
        <f>K8+K10+K15+K17+K20+K12</f>
        <v>1696799.77</v>
      </c>
      <c r="L7" s="51">
        <f t="shared" ref="L7" si="2">L8+L10+L15+L17+L20+L12</f>
        <v>-140965</v>
      </c>
    </row>
    <row r="8" spans="1:12" ht="15.75" thickTop="1" x14ac:dyDescent="0.25">
      <c r="B8" s="85">
        <v>42090</v>
      </c>
      <c r="C8" s="16" t="s">
        <v>148</v>
      </c>
      <c r="D8" s="17"/>
      <c r="E8" s="17"/>
      <c r="F8" s="25">
        <f>SUM(F9)</f>
        <v>0</v>
      </c>
      <c r="G8" s="25">
        <f t="shared" ref="G8:L10" si="3">SUM(G9)</f>
        <v>0</v>
      </c>
      <c r="H8" s="25">
        <f t="shared" si="3"/>
        <v>0</v>
      </c>
      <c r="I8" s="25">
        <f t="shared" si="3"/>
        <v>2420</v>
      </c>
      <c r="J8" s="25">
        <f t="shared" si="3"/>
        <v>0</v>
      </c>
      <c r="K8" s="25">
        <f t="shared" si="3"/>
        <v>2420</v>
      </c>
      <c r="L8" s="25">
        <f t="shared" si="3"/>
        <v>2420</v>
      </c>
    </row>
    <row r="9" spans="1:12" x14ac:dyDescent="0.25">
      <c r="B9" s="86"/>
      <c r="C9" s="2"/>
      <c r="D9" s="14" t="s">
        <v>149</v>
      </c>
      <c r="E9" s="14"/>
      <c r="F9" s="108">
        <v>0</v>
      </c>
      <c r="G9" s="12">
        <v>0</v>
      </c>
      <c r="H9" s="12">
        <f>F9+G9</f>
        <v>0</v>
      </c>
      <c r="I9" s="12">
        <v>2420</v>
      </c>
      <c r="J9" s="12">
        <f>I9-K9</f>
        <v>0</v>
      </c>
      <c r="K9" s="12">
        <v>2420</v>
      </c>
      <c r="L9" s="12">
        <f>I9-H9</f>
        <v>2420</v>
      </c>
    </row>
    <row r="10" spans="1:12" x14ac:dyDescent="0.25">
      <c r="B10" s="85">
        <v>45080</v>
      </c>
      <c r="C10" s="16" t="s">
        <v>5</v>
      </c>
      <c r="D10" s="17"/>
      <c r="E10" s="17"/>
      <c r="F10" s="25">
        <f>SUM(F11)</f>
        <v>37500</v>
      </c>
      <c r="G10" s="25">
        <f t="shared" si="3"/>
        <v>0</v>
      </c>
      <c r="H10" s="25">
        <f t="shared" si="3"/>
        <v>37500</v>
      </c>
      <c r="I10" s="25">
        <f t="shared" si="3"/>
        <v>37500</v>
      </c>
      <c r="J10" s="25">
        <f t="shared" si="3"/>
        <v>37500</v>
      </c>
      <c r="K10" s="25">
        <f t="shared" si="3"/>
        <v>0</v>
      </c>
      <c r="L10" s="25">
        <f t="shared" si="3"/>
        <v>0</v>
      </c>
    </row>
    <row r="11" spans="1:12" x14ac:dyDescent="0.25">
      <c r="B11" s="86"/>
      <c r="C11" s="2"/>
      <c r="D11" s="14" t="s">
        <v>81</v>
      </c>
      <c r="E11" s="14"/>
      <c r="F11" s="108">
        <v>37500</v>
      </c>
      <c r="G11" s="12">
        <v>0</v>
      </c>
      <c r="H11" s="12">
        <f>F11+G11</f>
        <v>37500</v>
      </c>
      <c r="I11" s="12">
        <v>37500</v>
      </c>
      <c r="J11" s="12">
        <f>I11-K11</f>
        <v>37500</v>
      </c>
      <c r="K11" s="12">
        <v>0</v>
      </c>
      <c r="L11" s="12">
        <f>I11-H11</f>
        <v>0</v>
      </c>
    </row>
    <row r="12" spans="1:12" x14ac:dyDescent="0.25">
      <c r="B12" s="83">
        <v>45300</v>
      </c>
      <c r="C12" s="18" t="s">
        <v>7</v>
      </c>
      <c r="D12" s="17"/>
      <c r="E12" s="17"/>
      <c r="F12" s="25">
        <f>SUM(F13:F14)</f>
        <v>21423</v>
      </c>
      <c r="G12" s="25">
        <f t="shared" ref="G12:L12" si="4">SUM(G13:G14)</f>
        <v>9990.66</v>
      </c>
      <c r="H12" s="25">
        <f t="shared" si="4"/>
        <v>31413.66</v>
      </c>
      <c r="I12" s="25">
        <f t="shared" si="4"/>
        <v>31413.66</v>
      </c>
      <c r="J12" s="25">
        <f t="shared" si="4"/>
        <v>0</v>
      </c>
      <c r="K12" s="25">
        <f t="shared" si="4"/>
        <v>31413.66</v>
      </c>
      <c r="L12" s="25">
        <f t="shared" si="4"/>
        <v>0</v>
      </c>
    </row>
    <row r="13" spans="1:12" x14ac:dyDescent="0.25">
      <c r="B13" s="87"/>
      <c r="C13" s="8"/>
      <c r="D13" s="15" t="s">
        <v>50</v>
      </c>
      <c r="E13" s="15"/>
      <c r="F13" s="109">
        <v>21423</v>
      </c>
      <c r="G13" s="12">
        <v>0</v>
      </c>
      <c r="H13" s="12">
        <f>F13+G13</f>
        <v>21423</v>
      </c>
      <c r="I13" s="12">
        <v>21423</v>
      </c>
      <c r="J13" s="12">
        <f>I13-K13</f>
        <v>0</v>
      </c>
      <c r="K13" s="12">
        <v>21423</v>
      </c>
      <c r="L13" s="12">
        <f>I13-H13</f>
        <v>0</v>
      </c>
    </row>
    <row r="14" spans="1:12" x14ac:dyDescent="0.25">
      <c r="B14" s="87"/>
      <c r="C14" s="149"/>
      <c r="D14" s="14" t="s">
        <v>151</v>
      </c>
      <c r="E14" s="14"/>
      <c r="F14" s="150">
        <v>0</v>
      </c>
      <c r="G14" s="108">
        <v>9990.66</v>
      </c>
      <c r="H14" s="12">
        <f>F14+G14</f>
        <v>9990.66</v>
      </c>
      <c r="I14" s="108">
        <v>9990.66</v>
      </c>
      <c r="J14" s="12">
        <f>I14-K14</f>
        <v>0</v>
      </c>
      <c r="K14" s="12">
        <v>9990.66</v>
      </c>
      <c r="L14" s="12">
        <f>I14-H14</f>
        <v>0</v>
      </c>
    </row>
    <row r="15" spans="1:12" x14ac:dyDescent="0.25">
      <c r="B15" s="83">
        <v>46101</v>
      </c>
      <c r="C15" s="18" t="s">
        <v>0</v>
      </c>
      <c r="D15" s="17"/>
      <c r="E15" s="17"/>
      <c r="F15" s="25">
        <f t="shared" ref="F15:L15" si="5">SUM(F16:F16)</f>
        <v>37500</v>
      </c>
      <c r="G15" s="25">
        <f t="shared" si="5"/>
        <v>0</v>
      </c>
      <c r="H15" s="25">
        <f t="shared" si="5"/>
        <v>37500</v>
      </c>
      <c r="I15" s="25">
        <f t="shared" si="5"/>
        <v>37500</v>
      </c>
      <c r="J15" s="25">
        <f t="shared" si="5"/>
        <v>0</v>
      </c>
      <c r="K15" s="25">
        <f t="shared" si="5"/>
        <v>37500</v>
      </c>
      <c r="L15" s="25">
        <f t="shared" si="5"/>
        <v>0</v>
      </c>
    </row>
    <row r="16" spans="1:12" x14ac:dyDescent="0.25">
      <c r="B16" s="87"/>
      <c r="C16" s="1"/>
      <c r="D16" s="14" t="s">
        <v>81</v>
      </c>
      <c r="E16" s="13"/>
      <c r="F16" s="110">
        <v>37500</v>
      </c>
      <c r="G16" s="12">
        <v>0</v>
      </c>
      <c r="H16" s="12">
        <f>F16+G16</f>
        <v>37500</v>
      </c>
      <c r="I16" s="12">
        <v>37500</v>
      </c>
      <c r="J16" s="12">
        <f>I16-K16</f>
        <v>0</v>
      </c>
      <c r="K16" s="12">
        <v>37500</v>
      </c>
      <c r="L16" s="12">
        <f>I16-H16</f>
        <v>0</v>
      </c>
    </row>
    <row r="17" spans="2:13" x14ac:dyDescent="0.25">
      <c r="B17" s="83">
        <v>46201</v>
      </c>
      <c r="C17" s="18" t="s">
        <v>6</v>
      </c>
      <c r="D17" s="17"/>
      <c r="E17" s="17"/>
      <c r="F17" s="25">
        <f>SUM(F18:F19)</f>
        <v>79220</v>
      </c>
      <c r="G17" s="25">
        <f t="shared" ref="G17:L17" si="6">SUM(G18:G19)</f>
        <v>0</v>
      </c>
      <c r="H17" s="25">
        <f>SUM(H18:H19)</f>
        <v>79220</v>
      </c>
      <c r="I17" s="25">
        <f>SUM(I18:I19)</f>
        <v>85604</v>
      </c>
      <c r="J17" s="25">
        <f t="shared" si="6"/>
        <v>0</v>
      </c>
      <c r="K17" s="25">
        <f t="shared" si="6"/>
        <v>85604</v>
      </c>
      <c r="L17" s="25">
        <f t="shared" si="6"/>
        <v>6384</v>
      </c>
    </row>
    <row r="18" spans="2:13" x14ac:dyDescent="0.25">
      <c r="B18" s="87"/>
      <c r="C18" s="11"/>
      <c r="D18" s="15" t="s">
        <v>49</v>
      </c>
      <c r="E18" s="15"/>
      <c r="F18" s="109">
        <v>73970</v>
      </c>
      <c r="G18" s="12">
        <v>0</v>
      </c>
      <c r="H18" s="12">
        <f t="shared" ref="H18:H19" si="7">F18+G18</f>
        <v>73970</v>
      </c>
      <c r="I18" s="108">
        <v>73970</v>
      </c>
      <c r="J18" s="132">
        <f t="shared" ref="J18:J19" si="8">I18-K18</f>
        <v>0</v>
      </c>
      <c r="K18" s="108">
        <v>73970</v>
      </c>
      <c r="L18" s="12">
        <f t="shared" ref="L18:L19" si="9">I18-H18</f>
        <v>0</v>
      </c>
    </row>
    <row r="19" spans="2:13" x14ac:dyDescent="0.25">
      <c r="B19" s="87"/>
      <c r="C19" s="105"/>
      <c r="D19" s="104" t="s">
        <v>77</v>
      </c>
      <c r="E19" s="14"/>
      <c r="F19" s="108">
        <f>5250</f>
        <v>5250</v>
      </c>
      <c r="G19" s="12">
        <v>0</v>
      </c>
      <c r="H19" s="12">
        <f t="shared" si="7"/>
        <v>5250</v>
      </c>
      <c r="I19" s="12">
        <f>5509+6125</f>
        <v>11634</v>
      </c>
      <c r="J19" s="12">
        <f t="shared" si="8"/>
        <v>0</v>
      </c>
      <c r="K19" s="12">
        <f>5509+6125</f>
        <v>11634</v>
      </c>
      <c r="L19" s="12">
        <f t="shared" si="9"/>
        <v>6384</v>
      </c>
    </row>
    <row r="20" spans="2:13" x14ac:dyDescent="0.25">
      <c r="B20" s="83">
        <v>46401</v>
      </c>
      <c r="C20" s="18" t="s">
        <v>1</v>
      </c>
      <c r="D20" s="17"/>
      <c r="E20" s="17"/>
      <c r="F20" s="25">
        <f t="shared" ref="F20:K20" si="10">SUM(F21:F22)</f>
        <v>1510000</v>
      </c>
      <c r="G20" s="25">
        <f t="shared" si="10"/>
        <v>179631.11</v>
      </c>
      <c r="H20" s="25">
        <f t="shared" si="10"/>
        <v>1689631.1099999999</v>
      </c>
      <c r="I20" s="25">
        <f t="shared" si="10"/>
        <v>1539862.11</v>
      </c>
      <c r="J20" s="25">
        <f t="shared" si="10"/>
        <v>0</v>
      </c>
      <c r="K20" s="25">
        <f t="shared" si="10"/>
        <v>1539862.11</v>
      </c>
      <c r="L20" s="25">
        <f>SUM(L21:L22)</f>
        <v>-149769</v>
      </c>
    </row>
    <row r="21" spans="2:13" x14ac:dyDescent="0.25">
      <c r="B21" s="87"/>
      <c r="C21" s="68"/>
      <c r="D21" s="69" t="s">
        <v>104</v>
      </c>
      <c r="E21" s="70"/>
      <c r="F21" s="112">
        <v>1350000</v>
      </c>
      <c r="G21" s="12">
        <v>179631.11</v>
      </c>
      <c r="H21" s="12">
        <f t="shared" ref="H21:H24" si="11">F21+G21</f>
        <v>1529631.1099999999</v>
      </c>
      <c r="I21" s="112">
        <f>382407.78*4-0.01</f>
        <v>1529631.11</v>
      </c>
      <c r="J21" s="112">
        <f t="shared" ref="J21" si="12">I21-K21</f>
        <v>0</v>
      </c>
      <c r="K21" s="112">
        <f>382407.78*4-0.01</f>
        <v>1529631.11</v>
      </c>
      <c r="L21" s="12">
        <f>I21-H21</f>
        <v>0</v>
      </c>
    </row>
    <row r="22" spans="2:13" x14ac:dyDescent="0.25">
      <c r="B22" s="87"/>
      <c r="C22" s="7"/>
      <c r="D22" s="71" t="s">
        <v>77</v>
      </c>
      <c r="E22" s="72"/>
      <c r="F22" s="12">
        <f>10000+150000</f>
        <v>160000</v>
      </c>
      <c r="G22" s="12">
        <v>0</v>
      </c>
      <c r="H22" s="12">
        <f t="shared" si="11"/>
        <v>160000</v>
      </c>
      <c r="I22" s="12">
        <f>I24</f>
        <v>10231</v>
      </c>
      <c r="J22" s="12">
        <f>SUM(J24:J28)</f>
        <v>0</v>
      </c>
      <c r="K22" s="12">
        <f>SUM(K24:K28)</f>
        <v>10231</v>
      </c>
      <c r="L22" s="12">
        <f>I22-H22</f>
        <v>-149769</v>
      </c>
    </row>
    <row r="23" spans="2:13" ht="6.75" hidden="1" customHeight="1" x14ac:dyDescent="0.25">
      <c r="B23" s="87"/>
      <c r="C23" s="7"/>
      <c r="D23" s="71"/>
      <c r="E23" s="72"/>
      <c r="F23" s="12"/>
      <c r="G23" s="12"/>
      <c r="H23" s="12"/>
      <c r="I23" s="12"/>
      <c r="J23" s="12"/>
      <c r="K23" s="12"/>
      <c r="L23" s="12"/>
    </row>
    <row r="24" spans="2:13" s="141" customFormat="1" hidden="1" x14ac:dyDescent="0.25">
      <c r="B24" s="142"/>
      <c r="C24" s="143"/>
      <c r="D24" s="146" t="s">
        <v>150</v>
      </c>
      <c r="E24" s="144"/>
      <c r="F24" s="145">
        <v>0</v>
      </c>
      <c r="G24" s="145">
        <v>0</v>
      </c>
      <c r="H24" s="145">
        <f t="shared" si="11"/>
        <v>0</v>
      </c>
      <c r="I24" s="145">
        <v>10231</v>
      </c>
      <c r="J24" s="145">
        <f t="shared" ref="J24" si="13">I24-K24</f>
        <v>0</v>
      </c>
      <c r="K24" s="145">
        <v>10231</v>
      </c>
      <c r="L24" s="145">
        <f>I24-H24</f>
        <v>10231</v>
      </c>
      <c r="M24"/>
    </row>
    <row r="25" spans="2:13" x14ac:dyDescent="0.25">
      <c r="B25" s="87"/>
      <c r="C25" s="66"/>
      <c r="D25" s="147"/>
      <c r="E25" s="14"/>
      <c r="F25" s="108"/>
    </row>
    <row r="26" spans="2:13" x14ac:dyDescent="0.25">
      <c r="C26" s="148"/>
      <c r="D26" s="148"/>
      <c r="F26" s="27"/>
    </row>
    <row r="27" spans="2:13" x14ac:dyDescent="0.25">
      <c r="C27" s="148"/>
      <c r="D27" s="148"/>
      <c r="F27" s="27"/>
    </row>
    <row r="28" spans="2:13" x14ac:dyDescent="0.25">
      <c r="C28" s="148"/>
      <c r="D28" s="148"/>
      <c r="F28" s="27"/>
    </row>
    <row r="29" spans="2:13" x14ac:dyDescent="0.25">
      <c r="C29" s="148"/>
      <c r="D29" s="148"/>
      <c r="F29" s="27"/>
    </row>
    <row r="30" spans="2:13" x14ac:dyDescent="0.25">
      <c r="C30" s="148"/>
      <c r="D30" s="148"/>
      <c r="F30" s="27"/>
    </row>
    <row r="31" spans="2:13" x14ac:dyDescent="0.25">
      <c r="C31" s="148"/>
      <c r="D31" s="148"/>
      <c r="F31" s="27"/>
    </row>
  </sheetData>
  <printOptions horizontalCentered="1"/>
  <pageMargins left="0" right="0" top="0.39370078740157483" bottom="0.39370078740157483" header="0.31496062992125984" footer="0.15748031496062992"/>
  <pageSetup paperSize="9" scale="75" fitToHeight="0" orientation="landscape" r:id="rId1"/>
  <headerFooter>
    <oddFooter>&amp;CEstat d'execució del pressupost de l'IERMB a 31/12/2020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2"/>
  <sheetViews>
    <sheetView showGridLines="0" zoomScale="85" zoomScaleNormal="85" zoomScaleSheetLayoutView="115" workbookViewId="0">
      <selection activeCell="P9" sqref="P9"/>
    </sheetView>
  </sheetViews>
  <sheetFormatPr baseColWidth="10" defaultRowHeight="15" x14ac:dyDescent="0.25"/>
  <cols>
    <col min="1" max="1" width="13.42578125" customWidth="1"/>
    <col min="2" max="2" width="10.7109375" customWidth="1"/>
    <col min="3" max="3" width="8.5703125" customWidth="1"/>
    <col min="4" max="4" width="40.5703125" customWidth="1"/>
    <col min="5" max="5" width="5.28515625" customWidth="1"/>
    <col min="6" max="6" width="14.85546875" customWidth="1"/>
    <col min="7" max="7" width="13.5703125" customWidth="1"/>
    <col min="8" max="8" width="15.42578125" customWidth="1"/>
    <col min="9" max="9" width="16.5703125" customWidth="1"/>
    <col min="10" max="10" width="14.7109375" customWidth="1"/>
    <col min="11" max="11" width="13.140625" customWidth="1"/>
    <col min="12" max="12" width="15.5703125" customWidth="1"/>
    <col min="13" max="13" width="4.7109375" customWidth="1"/>
  </cols>
  <sheetData>
    <row r="2" spans="1:12" ht="15.75" thickBot="1" x14ac:dyDescent="0.3"/>
    <row r="3" spans="1:12" s="19" customFormat="1" ht="18" thickBot="1" x14ac:dyDescent="0.35">
      <c r="A3" s="44" t="s">
        <v>63</v>
      </c>
      <c r="B3" s="45"/>
      <c r="C3" s="45"/>
      <c r="D3" s="45"/>
      <c r="E3" s="45"/>
      <c r="F3" s="136">
        <f>F7</f>
        <v>30</v>
      </c>
      <c r="G3" s="88">
        <f t="shared" ref="G3:L3" si="0">G7</f>
        <v>0</v>
      </c>
      <c r="H3" s="88">
        <f t="shared" si="0"/>
        <v>30</v>
      </c>
      <c r="I3" s="88">
        <f t="shared" si="0"/>
        <v>0</v>
      </c>
      <c r="J3" s="88">
        <f t="shared" si="0"/>
        <v>0</v>
      </c>
      <c r="K3" s="88">
        <f t="shared" si="0"/>
        <v>0</v>
      </c>
      <c r="L3" s="88">
        <f t="shared" si="0"/>
        <v>-30</v>
      </c>
    </row>
    <row r="4" spans="1:12" ht="15.75" thickBot="1" x14ac:dyDescent="0.3"/>
    <row r="5" spans="1:12" s="30" customFormat="1" ht="30.75" thickBot="1" x14ac:dyDescent="0.3">
      <c r="A5" s="46"/>
      <c r="B5" s="29" t="s">
        <v>62</v>
      </c>
      <c r="C5" s="75"/>
      <c r="D5" s="84" t="s">
        <v>3</v>
      </c>
      <c r="E5" s="78"/>
      <c r="F5" s="79" t="s">
        <v>82</v>
      </c>
      <c r="G5" s="101" t="s">
        <v>129</v>
      </c>
      <c r="H5" s="101" t="s">
        <v>130</v>
      </c>
      <c r="I5" s="124" t="s">
        <v>154</v>
      </c>
      <c r="J5" s="125" t="s">
        <v>131</v>
      </c>
      <c r="K5" s="126" t="s">
        <v>132</v>
      </c>
      <c r="L5" s="127" t="s">
        <v>133</v>
      </c>
    </row>
    <row r="6" spans="1:12" x14ac:dyDescent="0.25">
      <c r="B6" s="31"/>
      <c r="C6" s="32"/>
      <c r="D6" s="6"/>
      <c r="E6" s="6"/>
      <c r="F6" s="56"/>
    </row>
    <row r="7" spans="1:12" ht="15.75" thickBot="1" x14ac:dyDescent="0.3">
      <c r="B7" s="48">
        <v>5</v>
      </c>
      <c r="C7" s="49" t="s">
        <v>56</v>
      </c>
      <c r="D7" s="50"/>
      <c r="E7" s="50"/>
      <c r="F7" s="51">
        <f>F8</f>
        <v>30</v>
      </c>
      <c r="G7" s="51">
        <f t="shared" ref="G7:L7" si="1">G8</f>
        <v>0</v>
      </c>
      <c r="H7" s="51">
        <f t="shared" si="1"/>
        <v>30</v>
      </c>
      <c r="I7" s="51">
        <f t="shared" si="1"/>
        <v>0</v>
      </c>
      <c r="J7" s="51">
        <f t="shared" si="1"/>
        <v>0</v>
      </c>
      <c r="K7" s="51">
        <f t="shared" si="1"/>
        <v>0</v>
      </c>
      <c r="L7" s="51">
        <f t="shared" si="1"/>
        <v>-30</v>
      </c>
    </row>
    <row r="8" spans="1:12" s="3" customFormat="1" ht="15.75" thickTop="1" x14ac:dyDescent="0.25">
      <c r="B8" s="80">
        <v>52000</v>
      </c>
      <c r="C8" s="52" t="s">
        <v>89</v>
      </c>
      <c r="D8" s="53"/>
      <c r="E8" s="53"/>
      <c r="F8" s="54">
        <f>F9</f>
        <v>30</v>
      </c>
      <c r="G8" s="133">
        <f t="shared" ref="G8:L8" si="2">SUM(G9)</f>
        <v>0</v>
      </c>
      <c r="H8" s="133">
        <f t="shared" si="2"/>
        <v>30</v>
      </c>
      <c r="I8" s="133">
        <f t="shared" si="2"/>
        <v>0</v>
      </c>
      <c r="J8" s="133">
        <f t="shared" si="2"/>
        <v>0</v>
      </c>
      <c r="K8" s="133">
        <f t="shared" si="2"/>
        <v>0</v>
      </c>
      <c r="L8" s="133">
        <f t="shared" si="2"/>
        <v>-30</v>
      </c>
    </row>
    <row r="9" spans="1:12" s="2" customFormat="1" x14ac:dyDescent="0.25">
      <c r="B9" s="5"/>
      <c r="C9" s="106"/>
      <c r="D9" s="55" t="s">
        <v>89</v>
      </c>
      <c r="E9" s="55"/>
      <c r="F9" s="111">
        <v>30</v>
      </c>
      <c r="G9" s="12">
        <v>0</v>
      </c>
      <c r="H9" s="112">
        <f t="shared" ref="H9" si="3">F9+G9</f>
        <v>30</v>
      </c>
      <c r="I9" s="12">
        <v>0</v>
      </c>
      <c r="J9" s="112">
        <f t="shared" ref="J9" si="4">I9-K9</f>
        <v>0</v>
      </c>
      <c r="K9" s="12">
        <v>0</v>
      </c>
      <c r="L9" s="112">
        <f t="shared" ref="L9" si="5">I9-H9</f>
        <v>-30</v>
      </c>
    </row>
    <row r="13" spans="1:12" ht="15.75" thickBot="1" x14ac:dyDescent="0.3"/>
    <row r="14" spans="1:12" s="19" customFormat="1" ht="18" thickBot="1" x14ac:dyDescent="0.35">
      <c r="A14" s="44" t="s">
        <v>138</v>
      </c>
      <c r="B14" s="45"/>
      <c r="C14" s="45"/>
      <c r="D14" s="45"/>
      <c r="E14" s="45"/>
      <c r="F14" s="136">
        <f t="shared" ref="F14:L14" si="6">F18</f>
        <v>0</v>
      </c>
      <c r="G14" s="88">
        <f t="shared" si="6"/>
        <v>308218.64</v>
      </c>
      <c r="H14" s="88">
        <f t="shared" si="6"/>
        <v>308218.64</v>
      </c>
      <c r="I14" s="88">
        <f t="shared" si="6"/>
        <v>0</v>
      </c>
      <c r="J14" s="88">
        <f t="shared" si="6"/>
        <v>0</v>
      </c>
      <c r="K14" s="88">
        <f t="shared" si="6"/>
        <v>0</v>
      </c>
      <c r="L14" s="88">
        <f t="shared" si="6"/>
        <v>-308218.64</v>
      </c>
    </row>
    <row r="15" spans="1:12" ht="15.75" thickBot="1" x14ac:dyDescent="0.3"/>
    <row r="16" spans="1:12" s="30" customFormat="1" ht="30.75" thickBot="1" x14ac:dyDescent="0.3">
      <c r="A16" s="46"/>
      <c r="B16" s="29" t="s">
        <v>62</v>
      </c>
      <c r="C16" s="75"/>
      <c r="D16" s="84" t="s">
        <v>3</v>
      </c>
      <c r="E16" s="84"/>
      <c r="F16" s="79" t="s">
        <v>82</v>
      </c>
      <c r="G16" s="101" t="s">
        <v>129</v>
      </c>
      <c r="H16" s="101" t="s">
        <v>130</v>
      </c>
      <c r="I16" s="124" t="s">
        <v>154</v>
      </c>
      <c r="J16" s="125" t="s">
        <v>131</v>
      </c>
      <c r="K16" s="126" t="s">
        <v>132</v>
      </c>
      <c r="L16" s="127" t="s">
        <v>133</v>
      </c>
    </row>
    <row r="17" spans="2:21" x14ac:dyDescent="0.25">
      <c r="B17" s="31"/>
      <c r="C17" s="32"/>
      <c r="D17" s="6"/>
      <c r="E17" s="6"/>
      <c r="F17" s="6"/>
    </row>
    <row r="18" spans="2:21" ht="15.75" thickBot="1" x14ac:dyDescent="0.3">
      <c r="B18" s="48">
        <v>8</v>
      </c>
      <c r="C18" s="49" t="s">
        <v>139</v>
      </c>
      <c r="D18" s="50"/>
      <c r="E18" s="50"/>
      <c r="F18" s="51">
        <f t="shared" ref="F18:L18" si="7">F19</f>
        <v>0</v>
      </c>
      <c r="G18" s="51">
        <f t="shared" si="7"/>
        <v>308218.64</v>
      </c>
      <c r="H18" s="51">
        <f t="shared" si="7"/>
        <v>308218.64</v>
      </c>
      <c r="I18" s="51">
        <f t="shared" si="7"/>
        <v>0</v>
      </c>
      <c r="J18" s="51">
        <f t="shared" si="7"/>
        <v>0</v>
      </c>
      <c r="K18" s="51">
        <f t="shared" si="7"/>
        <v>0</v>
      </c>
      <c r="L18" s="51">
        <f t="shared" si="7"/>
        <v>-308218.64</v>
      </c>
    </row>
    <row r="19" spans="2:21" s="3" customFormat="1" ht="15.75" thickTop="1" x14ac:dyDescent="0.25">
      <c r="B19" s="80">
        <v>87010</v>
      </c>
      <c r="C19" s="52" t="s">
        <v>140</v>
      </c>
      <c r="D19" s="53"/>
      <c r="E19" s="53"/>
      <c r="F19" s="133">
        <f t="shared" ref="F19:L19" si="8">SUM(F20)</f>
        <v>0</v>
      </c>
      <c r="G19" s="133">
        <f t="shared" si="8"/>
        <v>308218.64</v>
      </c>
      <c r="H19" s="133">
        <f t="shared" si="8"/>
        <v>308218.64</v>
      </c>
      <c r="I19" s="133">
        <f t="shared" si="8"/>
        <v>0</v>
      </c>
      <c r="J19" s="133">
        <f t="shared" si="8"/>
        <v>0</v>
      </c>
      <c r="K19" s="133">
        <f t="shared" si="8"/>
        <v>0</v>
      </c>
      <c r="L19" s="133">
        <f t="shared" si="8"/>
        <v>-308218.64</v>
      </c>
    </row>
    <row r="20" spans="2:21" s="2" customFormat="1" x14ac:dyDescent="0.25">
      <c r="B20" s="5"/>
      <c r="C20" s="106"/>
      <c r="D20" s="55" t="s">
        <v>140</v>
      </c>
      <c r="E20" s="55"/>
      <c r="F20" s="137">
        <v>0</v>
      </c>
      <c r="G20" s="12">
        <v>308218.64</v>
      </c>
      <c r="H20" s="112">
        <f t="shared" ref="H20" si="9">F20+G20</f>
        <v>308218.64</v>
      </c>
      <c r="I20" s="12">
        <v>0</v>
      </c>
      <c r="J20" s="112">
        <f t="shared" ref="J20" si="10">I20-K20</f>
        <v>0</v>
      </c>
      <c r="K20" s="12">
        <v>0</v>
      </c>
      <c r="L20" s="112">
        <f t="shared" ref="L20" si="11">I20-H20</f>
        <v>-308218.64</v>
      </c>
    </row>
    <row r="21" spans="2:21" s="2" customFormat="1" x14ac:dyDescent="0.25">
      <c r="B21" s="5"/>
      <c r="C21" s="134"/>
      <c r="D21" s="135"/>
      <c r="E21" s="135"/>
      <c r="F21" s="135"/>
      <c r="G21" s="108"/>
      <c r="H21" s="108"/>
      <c r="I21" s="108"/>
      <c r="J21" s="108"/>
      <c r="K21" s="108"/>
      <c r="L21" s="108"/>
    </row>
    <row r="22" spans="2:21" x14ac:dyDescent="0.25">
      <c r="G22" s="108"/>
      <c r="H22" s="108"/>
      <c r="I22" s="108"/>
      <c r="J22" s="108"/>
      <c r="K22" s="108"/>
      <c r="L22" s="108"/>
      <c r="M22" s="2"/>
      <c r="N22" s="2"/>
      <c r="O22" s="2"/>
      <c r="P22" s="2"/>
      <c r="Q22" s="2"/>
      <c r="R22" s="2"/>
      <c r="S22" s="2"/>
      <c r="T22" s="2"/>
      <c r="U22" s="2"/>
    </row>
  </sheetData>
  <printOptions horizontalCentered="1"/>
  <pageMargins left="0" right="0" top="0.39370078740157483" bottom="0.39370078740157483" header="0.31496062992125984" footer="0.15748031496062992"/>
  <pageSetup paperSize="9" scale="75" fitToHeight="0" orientation="landscape" r:id="rId1"/>
  <headerFooter>
    <oddFooter>&amp;CEstat d'execució del pressupost de l'IERMB a 31/12/2020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8"/>
  <sheetViews>
    <sheetView showGridLines="0" view="pageLayout" topLeftCell="A2" zoomScale="85" zoomScaleNormal="85" zoomScaleSheetLayoutView="100" zoomScalePageLayoutView="85" workbookViewId="0">
      <selection activeCell="G22" sqref="G22"/>
    </sheetView>
  </sheetViews>
  <sheetFormatPr baseColWidth="10" defaultRowHeight="15" x14ac:dyDescent="0.25"/>
  <cols>
    <col min="1" max="1" width="13.42578125" customWidth="1"/>
    <col min="2" max="2" width="10.7109375" customWidth="1"/>
    <col min="3" max="3" width="32.5703125" customWidth="1"/>
    <col min="4" max="4" width="3" customWidth="1"/>
    <col min="5" max="5" width="5.28515625" customWidth="1"/>
    <col min="6" max="7" width="19" customWidth="1"/>
    <col min="8" max="8" width="15.42578125" customWidth="1"/>
    <col min="9" max="9" width="16.85546875" customWidth="1"/>
    <col min="10" max="10" width="15" customWidth="1"/>
    <col min="11" max="11" width="15.85546875" customWidth="1"/>
    <col min="12" max="12" width="14" customWidth="1"/>
    <col min="13" max="13" width="3.140625" customWidth="1"/>
  </cols>
  <sheetData>
    <row r="2" spans="1:12" ht="15.75" thickBot="1" x14ac:dyDescent="0.3"/>
    <row r="3" spans="1:12" s="58" customFormat="1" ht="18" thickBot="1" x14ac:dyDescent="0.35">
      <c r="A3" s="44" t="s">
        <v>101</v>
      </c>
      <c r="B3" s="57"/>
      <c r="C3" s="57"/>
      <c r="D3" s="57"/>
      <c r="E3" s="57"/>
      <c r="F3" s="88">
        <f>F7</f>
        <v>2283101.7007403998</v>
      </c>
      <c r="G3" s="88">
        <f t="shared" ref="G3:L3" si="0">G7</f>
        <v>567953.54999999993</v>
      </c>
      <c r="H3" s="88">
        <f t="shared" si="0"/>
        <v>2851055.2507403996</v>
      </c>
      <c r="I3" s="88">
        <f t="shared" si="0"/>
        <v>2617160.44</v>
      </c>
      <c r="J3" s="88">
        <f t="shared" si="0"/>
        <v>0</v>
      </c>
      <c r="K3" s="88">
        <f t="shared" si="0"/>
        <v>2617160.44</v>
      </c>
      <c r="L3" s="88">
        <f t="shared" si="0"/>
        <v>233894.81074039973</v>
      </c>
    </row>
    <row r="4" spans="1:12" ht="15.75" thickBot="1" x14ac:dyDescent="0.3"/>
    <row r="5" spans="1:12" ht="45.75" thickBot="1" x14ac:dyDescent="0.3">
      <c r="A5" s="89" t="s">
        <v>64</v>
      </c>
      <c r="B5" s="59" t="s">
        <v>65</v>
      </c>
      <c r="C5" s="92" t="s">
        <v>85</v>
      </c>
      <c r="D5" s="93"/>
      <c r="E5" s="94"/>
      <c r="F5" s="79" t="s">
        <v>82</v>
      </c>
      <c r="G5" s="101" t="s">
        <v>129</v>
      </c>
      <c r="H5" s="101" t="s">
        <v>130</v>
      </c>
      <c r="I5" s="124" t="s">
        <v>155</v>
      </c>
      <c r="J5" s="125" t="s">
        <v>131</v>
      </c>
      <c r="K5" s="126" t="s">
        <v>135</v>
      </c>
      <c r="L5" s="127" t="s">
        <v>133</v>
      </c>
    </row>
    <row r="6" spans="1:12" s="47" customFormat="1" x14ac:dyDescent="0.25">
      <c r="A6"/>
      <c r="B6"/>
      <c r="C6"/>
      <c r="D6"/>
      <c r="E6"/>
      <c r="F6"/>
      <c r="G6"/>
      <c r="H6"/>
      <c r="I6"/>
      <c r="J6"/>
      <c r="K6"/>
      <c r="L6"/>
    </row>
    <row r="7" spans="1:12" ht="15.75" thickBot="1" x14ac:dyDescent="0.3">
      <c r="A7" s="60">
        <v>462</v>
      </c>
      <c r="B7" s="48">
        <v>1</v>
      </c>
      <c r="C7" s="49" t="s">
        <v>87</v>
      </c>
      <c r="D7" s="50"/>
      <c r="E7" s="61"/>
      <c r="F7" s="51">
        <f>SUM(F8:F17)</f>
        <v>2283101.7007403998</v>
      </c>
      <c r="G7" s="51">
        <f t="shared" ref="G7:L7" si="1">SUM(G8:G16)</f>
        <v>567953.54999999993</v>
      </c>
      <c r="H7" s="51">
        <f>SUM(H8:H16)</f>
        <v>2851055.2507403996</v>
      </c>
      <c r="I7" s="51">
        <f>SUM(I8:I16)</f>
        <v>2617160.44</v>
      </c>
      <c r="J7" s="51">
        <f t="shared" si="1"/>
        <v>0</v>
      </c>
      <c r="K7" s="51">
        <f t="shared" si="1"/>
        <v>2617160.44</v>
      </c>
      <c r="L7" s="51">
        <f t="shared" si="1"/>
        <v>233894.81074039973</v>
      </c>
    </row>
    <row r="8" spans="1:12" ht="15.75" thickTop="1" x14ac:dyDescent="0.25">
      <c r="A8" s="62" t="s">
        <v>66</v>
      </c>
      <c r="B8" s="90" t="s">
        <v>53</v>
      </c>
      <c r="C8" s="22" t="s">
        <v>54</v>
      </c>
      <c r="D8" s="10"/>
      <c r="E8" s="22"/>
      <c r="F8" s="12">
        <v>65035.353600000009</v>
      </c>
      <c r="G8" s="12">
        <v>0</v>
      </c>
      <c r="H8" s="12">
        <f>F8+G8</f>
        <v>65035.353600000009</v>
      </c>
      <c r="I8" s="12">
        <v>64404.15</v>
      </c>
      <c r="J8" s="12">
        <f>I8-K8</f>
        <v>0</v>
      </c>
      <c r="K8" s="12">
        <v>64404.15</v>
      </c>
      <c r="L8" s="12">
        <f>H8-I8</f>
        <v>631.20360000000801</v>
      </c>
    </row>
    <row r="9" spans="1:12" x14ac:dyDescent="0.25">
      <c r="A9" s="62" t="s">
        <v>84</v>
      </c>
      <c r="B9" s="91" t="s">
        <v>11</v>
      </c>
      <c r="C9" s="21" t="s">
        <v>8</v>
      </c>
      <c r="D9" s="9"/>
      <c r="E9" s="21"/>
      <c r="F9" s="12">
        <f>822656.8182+41456.78</f>
        <v>864113.59820000001</v>
      </c>
      <c r="G9" s="12">
        <v>0</v>
      </c>
      <c r="H9" s="12">
        <f t="shared" ref="H9:H15" si="2">F9+G9</f>
        <v>864113.59820000001</v>
      </c>
      <c r="I9" s="12">
        <v>851995.38</v>
      </c>
      <c r="J9" s="12">
        <f t="shared" ref="J9:J15" si="3">I9-K9</f>
        <v>0</v>
      </c>
      <c r="K9" s="12">
        <v>851995.38</v>
      </c>
      <c r="L9" s="12">
        <f t="shared" ref="L9:L15" si="4">H9-I9</f>
        <v>12118.218200000003</v>
      </c>
    </row>
    <row r="10" spans="1:12" x14ac:dyDescent="0.25">
      <c r="A10" s="23" t="s">
        <v>67</v>
      </c>
      <c r="B10" s="91" t="s">
        <v>72</v>
      </c>
      <c r="C10" s="24" t="s">
        <v>73</v>
      </c>
      <c r="D10" s="21"/>
      <c r="E10" s="21"/>
      <c r="F10" s="12">
        <f>409908.9764+198536.42+146814.06</f>
        <v>755259.45640000002</v>
      </c>
      <c r="G10" s="12">
        <f>542784.86+10000+15168.69</f>
        <v>567953.54999999993</v>
      </c>
      <c r="H10" s="12">
        <f t="shared" si="2"/>
        <v>1323213.0063999998</v>
      </c>
      <c r="I10" s="12">
        <v>972907.15</v>
      </c>
      <c r="J10" s="12">
        <f t="shared" si="3"/>
        <v>0</v>
      </c>
      <c r="K10" s="12">
        <v>972907.15</v>
      </c>
      <c r="L10" s="12">
        <f t="shared" si="4"/>
        <v>350305.85639999982</v>
      </c>
    </row>
    <row r="11" spans="1:12" x14ac:dyDescent="0.25">
      <c r="B11" s="91" t="s">
        <v>74</v>
      </c>
      <c r="C11" s="24" t="s">
        <v>70</v>
      </c>
      <c r="D11" s="24"/>
      <c r="E11" s="24"/>
      <c r="F11" s="12">
        <v>0</v>
      </c>
      <c r="G11" s="12">
        <v>0</v>
      </c>
      <c r="H11" s="12">
        <f t="shared" si="2"/>
        <v>0</v>
      </c>
      <c r="I11" s="12">
        <v>27822.67</v>
      </c>
      <c r="J11" s="12">
        <f t="shared" si="3"/>
        <v>0</v>
      </c>
      <c r="K11" s="12">
        <v>27822.67</v>
      </c>
      <c r="L11" s="12">
        <f t="shared" si="4"/>
        <v>-27822.67</v>
      </c>
    </row>
    <row r="12" spans="1:12" x14ac:dyDescent="0.25">
      <c r="B12" s="91" t="s">
        <v>107</v>
      </c>
      <c r="C12" s="24" t="s">
        <v>108</v>
      </c>
      <c r="D12" s="24"/>
      <c r="E12" s="24"/>
      <c r="F12" s="12">
        <f>2500+1000+1000</f>
        <v>4500</v>
      </c>
      <c r="G12" s="12">
        <v>0</v>
      </c>
      <c r="H12" s="12">
        <f t="shared" si="2"/>
        <v>4500</v>
      </c>
      <c r="I12" s="12">
        <v>15644.5</v>
      </c>
      <c r="J12" s="12">
        <f t="shared" si="3"/>
        <v>0</v>
      </c>
      <c r="K12" s="12">
        <v>15644.5</v>
      </c>
      <c r="L12" s="12">
        <f t="shared" si="4"/>
        <v>-11144.5</v>
      </c>
    </row>
    <row r="13" spans="1:12" x14ac:dyDescent="0.25">
      <c r="B13" s="91" t="s">
        <v>12</v>
      </c>
      <c r="C13" s="21" t="s">
        <v>2</v>
      </c>
      <c r="D13" s="9"/>
      <c r="E13" s="21"/>
      <c r="F13" s="12">
        <f>412151.8525404+78138.29+48961.25</f>
        <v>539251.39254039992</v>
      </c>
      <c r="G13" s="12">
        <v>0</v>
      </c>
      <c r="H13" s="12">
        <f t="shared" si="2"/>
        <v>539251.39254039992</v>
      </c>
      <c r="I13" s="12">
        <v>613087.15</v>
      </c>
      <c r="J13" s="12">
        <f t="shared" si="3"/>
        <v>0</v>
      </c>
      <c r="K13" s="12">
        <v>613087.15</v>
      </c>
      <c r="L13" s="12">
        <f t="shared" si="4"/>
        <v>-73835.757459600107</v>
      </c>
    </row>
    <row r="14" spans="1:12" x14ac:dyDescent="0.25">
      <c r="B14" s="91" t="s">
        <v>13</v>
      </c>
      <c r="C14" s="24" t="s">
        <v>14</v>
      </c>
      <c r="D14" s="9"/>
      <c r="E14" s="24"/>
      <c r="F14" s="12">
        <f>4000+1500+1250</f>
        <v>6750</v>
      </c>
      <c r="G14" s="12">
        <v>0</v>
      </c>
      <c r="H14" s="12">
        <f t="shared" si="2"/>
        <v>6750</v>
      </c>
      <c r="I14" s="12">
        <v>3577.35</v>
      </c>
      <c r="J14" s="12">
        <f t="shared" si="3"/>
        <v>0</v>
      </c>
      <c r="K14" s="12">
        <v>3577.35</v>
      </c>
      <c r="L14" s="12">
        <f t="shared" si="4"/>
        <v>3172.65</v>
      </c>
    </row>
    <row r="15" spans="1:12" x14ac:dyDescent="0.25">
      <c r="B15" s="97" t="s">
        <v>75</v>
      </c>
      <c r="C15" s="21" t="s">
        <v>76</v>
      </c>
      <c r="D15" s="21"/>
      <c r="E15" s="21"/>
      <c r="F15" s="98">
        <f>36183.6+6295.1+5713.2</f>
        <v>48191.899999999994</v>
      </c>
      <c r="G15" s="12">
        <v>0</v>
      </c>
      <c r="H15" s="12">
        <f t="shared" si="2"/>
        <v>48191.899999999994</v>
      </c>
      <c r="I15" s="12">
        <v>67722.09</v>
      </c>
      <c r="J15" s="12">
        <f t="shared" si="3"/>
        <v>0</v>
      </c>
      <c r="K15" s="12">
        <v>67722.09</v>
      </c>
      <c r="L15" s="12">
        <f t="shared" si="4"/>
        <v>-19530.190000000002</v>
      </c>
    </row>
    <row r="16" spans="1:12" x14ac:dyDescent="0.25">
      <c r="G16" s="4"/>
    </row>
    <row r="18" spans="1:6" x14ac:dyDescent="0.25">
      <c r="A18" s="2"/>
      <c r="B18" s="95"/>
      <c r="C18" s="2"/>
      <c r="D18" s="2"/>
      <c r="E18" s="2"/>
      <c r="F18" s="2"/>
    </row>
    <row r="19" spans="1:6" ht="21" x14ac:dyDescent="0.35">
      <c r="A19" s="2"/>
      <c r="B19" s="96"/>
      <c r="C19" s="2"/>
      <c r="D19" s="2"/>
      <c r="E19" s="2"/>
      <c r="F19" s="115"/>
    </row>
    <row r="20" spans="1:6" ht="21" x14ac:dyDescent="0.35">
      <c r="A20" s="2"/>
      <c r="B20" s="2"/>
      <c r="C20" s="2"/>
      <c r="D20" s="2"/>
      <c r="E20" s="2"/>
      <c r="F20" s="115"/>
    </row>
    <row r="21" spans="1:6" ht="21" x14ac:dyDescent="0.35">
      <c r="A21" s="2"/>
      <c r="B21" s="2"/>
      <c r="C21" s="2"/>
      <c r="D21" s="2"/>
      <c r="E21" s="2"/>
      <c r="F21" s="115"/>
    </row>
    <row r="22" spans="1:6" ht="21" x14ac:dyDescent="0.35">
      <c r="F22" s="115"/>
    </row>
    <row r="23" spans="1:6" ht="21" x14ac:dyDescent="0.35">
      <c r="F23" s="115"/>
    </row>
    <row r="24" spans="1:6" ht="21" x14ac:dyDescent="0.35">
      <c r="F24" s="115"/>
    </row>
    <row r="25" spans="1:6" ht="21" x14ac:dyDescent="0.35">
      <c r="D25" s="27"/>
      <c r="F25" s="115"/>
    </row>
    <row r="26" spans="1:6" ht="21" x14ac:dyDescent="0.35">
      <c r="F26" s="115"/>
    </row>
    <row r="27" spans="1:6" ht="21" x14ac:dyDescent="0.35">
      <c r="F27" s="115"/>
    </row>
    <row r="28" spans="1:6" x14ac:dyDescent="0.25">
      <c r="F28" s="74"/>
    </row>
  </sheetData>
  <printOptions horizontalCentered="1"/>
  <pageMargins left="0" right="0" top="0.39370078740157483" bottom="0.39370078740157483" header="0.31496062992125984" footer="0.15748031496062992"/>
  <pageSetup paperSize="9" scale="75" fitToHeight="0" orientation="landscape" r:id="rId1"/>
  <headerFooter>
    <oddFooter>&amp;CEstat d'execució del pressupost de l'IERMB a 31/12/2020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4"/>
  <sheetViews>
    <sheetView showGridLines="0" zoomScale="89" zoomScaleNormal="89" zoomScaleSheetLayoutView="100" workbookViewId="0">
      <selection activeCell="N23" sqref="N23"/>
    </sheetView>
  </sheetViews>
  <sheetFormatPr baseColWidth="10" defaultRowHeight="15" x14ac:dyDescent="0.25"/>
  <cols>
    <col min="1" max="1" width="13.42578125" customWidth="1"/>
    <col min="2" max="2" width="10.7109375" customWidth="1"/>
    <col min="3" max="3" width="41.85546875" customWidth="1"/>
    <col min="4" max="4" width="12.42578125" customWidth="1"/>
    <col min="5" max="5" width="11.85546875" customWidth="1"/>
    <col min="6" max="6" width="16.140625" customWidth="1"/>
    <col min="7" max="7" width="13.5703125" customWidth="1"/>
    <col min="8" max="8" width="16" customWidth="1"/>
    <col min="9" max="9" width="16.85546875" customWidth="1"/>
    <col min="10" max="10" width="16.5703125" customWidth="1"/>
    <col min="11" max="12" width="14" customWidth="1"/>
    <col min="13" max="13" width="3.28515625" customWidth="1"/>
  </cols>
  <sheetData>
    <row r="2" spans="1:12" ht="15.75" thickBot="1" x14ac:dyDescent="0.3"/>
    <row r="3" spans="1:12" s="58" customFormat="1" ht="18" thickBot="1" x14ac:dyDescent="0.35">
      <c r="A3" s="44" t="s">
        <v>45</v>
      </c>
      <c r="B3" s="57"/>
      <c r="C3" s="57"/>
      <c r="D3" s="57"/>
      <c r="E3" s="57"/>
      <c r="F3" s="88">
        <f t="shared" ref="F3:L3" si="0">F7</f>
        <v>872533.54</v>
      </c>
      <c r="G3" s="88">
        <f t="shared" si="0"/>
        <v>484304.79999999987</v>
      </c>
      <c r="H3" s="88">
        <f t="shared" si="0"/>
        <v>1356838.3399999999</v>
      </c>
      <c r="I3" s="88">
        <f t="shared" si="0"/>
        <v>1000599.42</v>
      </c>
      <c r="J3" s="88">
        <f t="shared" si="0"/>
        <v>325098.53000000003</v>
      </c>
      <c r="K3" s="88">
        <f t="shared" si="0"/>
        <v>675500.8899999999</v>
      </c>
      <c r="L3" s="88">
        <f t="shared" si="0"/>
        <v>356238.91999999987</v>
      </c>
    </row>
    <row r="4" spans="1:12" ht="15.75" thickBot="1" x14ac:dyDescent="0.3"/>
    <row r="5" spans="1:12" s="47" customFormat="1" ht="51" customHeight="1" thickBot="1" x14ac:dyDescent="0.3">
      <c r="A5" s="89" t="s">
        <v>64</v>
      </c>
      <c r="B5" s="59" t="s">
        <v>65</v>
      </c>
      <c r="C5" s="92"/>
      <c r="D5" s="93" t="s">
        <v>3</v>
      </c>
      <c r="E5" s="94"/>
      <c r="F5" s="79" t="s">
        <v>82</v>
      </c>
      <c r="G5" s="101" t="s">
        <v>129</v>
      </c>
      <c r="H5" s="101" t="s">
        <v>130</v>
      </c>
      <c r="I5" s="124" t="s">
        <v>155</v>
      </c>
      <c r="J5" s="125" t="s">
        <v>134</v>
      </c>
      <c r="K5" s="126" t="s">
        <v>135</v>
      </c>
      <c r="L5" s="127" t="s">
        <v>133</v>
      </c>
    </row>
    <row r="7" spans="1:12" ht="15.75" thickBot="1" x14ac:dyDescent="0.3">
      <c r="A7" s="60">
        <v>462</v>
      </c>
      <c r="B7" s="48">
        <v>2</v>
      </c>
      <c r="C7" s="63" t="s">
        <v>90</v>
      </c>
      <c r="D7" s="50"/>
      <c r="E7" s="61"/>
      <c r="F7" s="51">
        <f>SUM(F8:F29)</f>
        <v>872533.54</v>
      </c>
      <c r="G7" s="51">
        <f t="shared" ref="G7" si="1">SUM(G8:G29)</f>
        <v>484304.79999999987</v>
      </c>
      <c r="H7" s="51">
        <f>SUM(H8:H29)</f>
        <v>1356838.3399999999</v>
      </c>
      <c r="I7" s="51">
        <f t="shared" ref="I7:L7" si="2">SUM(I8:I29)</f>
        <v>1000599.42</v>
      </c>
      <c r="J7" s="51">
        <f t="shared" si="2"/>
        <v>325098.53000000003</v>
      </c>
      <c r="K7" s="51">
        <f t="shared" si="2"/>
        <v>675500.8899999999</v>
      </c>
      <c r="L7" s="51">
        <f t="shared" si="2"/>
        <v>356238.91999999987</v>
      </c>
    </row>
    <row r="8" spans="1:12" ht="15.75" thickTop="1" x14ac:dyDescent="0.25">
      <c r="A8" s="62" t="s">
        <v>66</v>
      </c>
      <c r="B8" s="91" t="s">
        <v>16</v>
      </c>
      <c r="C8" s="9" t="s">
        <v>91</v>
      </c>
      <c r="D8" s="9"/>
      <c r="E8" s="9"/>
      <c r="F8" s="12">
        <v>25000</v>
      </c>
      <c r="G8" s="12">
        <v>0</v>
      </c>
      <c r="H8" s="12">
        <f>F8+G8</f>
        <v>25000</v>
      </c>
      <c r="I8" s="12">
        <v>10820.26</v>
      </c>
      <c r="J8" s="12">
        <f>I8-K8</f>
        <v>0</v>
      </c>
      <c r="K8" s="12">
        <v>10820.26</v>
      </c>
      <c r="L8" s="12">
        <f>H8-I8</f>
        <v>14179.74</v>
      </c>
    </row>
    <row r="9" spans="1:12" x14ac:dyDescent="0.25">
      <c r="A9" s="62" t="s">
        <v>84</v>
      </c>
      <c r="B9" s="91" t="s">
        <v>17</v>
      </c>
      <c r="C9" s="9" t="s">
        <v>15</v>
      </c>
      <c r="D9" s="9"/>
      <c r="E9" s="9"/>
      <c r="F9" s="12">
        <v>950</v>
      </c>
      <c r="G9" s="12">
        <v>0</v>
      </c>
      <c r="H9" s="12">
        <f t="shared" ref="H9:H29" si="3">F9+G9</f>
        <v>950</v>
      </c>
      <c r="I9" s="12">
        <v>1486</v>
      </c>
      <c r="J9" s="12">
        <f t="shared" ref="J9" si="4">I9-K9</f>
        <v>0</v>
      </c>
      <c r="K9" s="12">
        <v>1486</v>
      </c>
      <c r="L9" s="12">
        <f t="shared" ref="L9" si="5">H9-I9</f>
        <v>-536</v>
      </c>
    </row>
    <row r="10" spans="1:12" x14ac:dyDescent="0.25">
      <c r="A10" s="23" t="s">
        <v>67</v>
      </c>
      <c r="B10" s="91" t="s">
        <v>146</v>
      </c>
      <c r="C10" s="9" t="s">
        <v>147</v>
      </c>
      <c r="E10" s="9"/>
      <c r="F10" s="12">
        <v>0</v>
      </c>
      <c r="G10" s="12">
        <v>0</v>
      </c>
      <c r="H10" s="12">
        <f t="shared" ref="H10" si="6">F10+G10</f>
        <v>0</v>
      </c>
      <c r="I10" s="12">
        <v>412.88</v>
      </c>
      <c r="J10" s="12">
        <f t="shared" ref="J10:J29" si="7">I10-K10</f>
        <v>0</v>
      </c>
      <c r="K10" s="12">
        <v>412.88</v>
      </c>
      <c r="L10" s="12">
        <f t="shared" ref="L10" si="8">H10-I10</f>
        <v>-412.88</v>
      </c>
    </row>
    <row r="11" spans="1:12" x14ac:dyDescent="0.25">
      <c r="B11" s="91" t="s">
        <v>109</v>
      </c>
      <c r="C11" s="9" t="s">
        <v>110</v>
      </c>
      <c r="D11" s="9"/>
      <c r="E11" s="9"/>
      <c r="F11" s="12">
        <f>1250+1250</f>
        <v>2500</v>
      </c>
      <c r="G11" s="12">
        <v>0</v>
      </c>
      <c r="H11" s="12">
        <f t="shared" si="3"/>
        <v>2500</v>
      </c>
      <c r="I11" s="12">
        <v>0</v>
      </c>
      <c r="J11" s="12">
        <f t="shared" si="7"/>
        <v>0</v>
      </c>
      <c r="K11" s="12">
        <v>0</v>
      </c>
      <c r="L11" s="12">
        <f>H11-I11</f>
        <v>2500</v>
      </c>
    </row>
    <row r="12" spans="1:12" x14ac:dyDescent="0.25">
      <c r="A12" s="23"/>
      <c r="B12" s="91" t="s">
        <v>123</v>
      </c>
      <c r="C12" s="9" t="s">
        <v>158</v>
      </c>
      <c r="D12" s="9"/>
      <c r="E12" s="9"/>
      <c r="F12" s="12">
        <v>3750</v>
      </c>
      <c r="G12" s="12">
        <v>0</v>
      </c>
      <c r="H12" s="12">
        <f t="shared" si="3"/>
        <v>3750</v>
      </c>
      <c r="I12" s="12">
        <v>36044.76</v>
      </c>
      <c r="J12" s="12">
        <f t="shared" si="7"/>
        <v>5456.4700000000012</v>
      </c>
      <c r="K12" s="12">
        <v>30588.29</v>
      </c>
      <c r="L12" s="12">
        <f t="shared" ref="L12:L29" si="9">H12-I12</f>
        <v>-32294.760000000002</v>
      </c>
    </row>
    <row r="13" spans="1:12" x14ac:dyDescent="0.25">
      <c r="B13" s="91" t="s">
        <v>21</v>
      </c>
      <c r="C13" s="9" t="s">
        <v>20</v>
      </c>
      <c r="D13" s="9"/>
      <c r="E13" s="9"/>
      <c r="F13" s="12">
        <f>5350+1200+1500</f>
        <v>8050</v>
      </c>
      <c r="G13" s="12">
        <v>0</v>
      </c>
      <c r="H13" s="12">
        <f t="shared" si="3"/>
        <v>8050</v>
      </c>
      <c r="I13" s="12">
        <v>8296.94</v>
      </c>
      <c r="J13" s="12">
        <f t="shared" si="7"/>
        <v>259.00000000000091</v>
      </c>
      <c r="K13" s="12">
        <v>8037.94</v>
      </c>
      <c r="L13" s="12">
        <f t="shared" si="9"/>
        <v>-246.94000000000051</v>
      </c>
    </row>
    <row r="14" spans="1:12" x14ac:dyDescent="0.25">
      <c r="B14" s="91" t="s">
        <v>79</v>
      </c>
      <c r="C14" s="9" t="s">
        <v>80</v>
      </c>
      <c r="D14" s="9"/>
      <c r="E14" s="9"/>
      <c r="F14" s="12">
        <f>750+250</f>
        <v>1000</v>
      </c>
      <c r="G14" s="12">
        <v>0</v>
      </c>
      <c r="H14" s="12">
        <f t="shared" si="3"/>
        <v>1000</v>
      </c>
      <c r="I14" s="12">
        <v>556.37</v>
      </c>
      <c r="J14" s="12">
        <f t="shared" si="7"/>
        <v>35.950000000000045</v>
      </c>
      <c r="K14" s="12">
        <v>520.41999999999996</v>
      </c>
      <c r="L14" s="12">
        <f t="shared" si="9"/>
        <v>443.63</v>
      </c>
    </row>
    <row r="15" spans="1:12" x14ac:dyDescent="0.25">
      <c r="B15" s="91" t="s">
        <v>18</v>
      </c>
      <c r="C15" s="9" t="s">
        <v>19</v>
      </c>
      <c r="D15" s="9"/>
      <c r="E15" s="9"/>
      <c r="F15" s="12">
        <f>1000+10000+4500</f>
        <v>15500</v>
      </c>
      <c r="G15" s="12">
        <v>0</v>
      </c>
      <c r="H15" s="12">
        <f t="shared" si="3"/>
        <v>15500</v>
      </c>
      <c r="I15" s="12">
        <v>21922.57</v>
      </c>
      <c r="J15" s="12">
        <f t="shared" si="7"/>
        <v>807.68999999999869</v>
      </c>
      <c r="K15" s="12">
        <v>21114.880000000001</v>
      </c>
      <c r="L15" s="12">
        <f t="shared" si="9"/>
        <v>-6422.57</v>
      </c>
    </row>
    <row r="16" spans="1:12" x14ac:dyDescent="0.25">
      <c r="B16" s="91" t="s">
        <v>37</v>
      </c>
      <c r="C16" s="9" t="s">
        <v>92</v>
      </c>
      <c r="D16" s="9"/>
      <c r="E16" s="9"/>
      <c r="F16" s="12">
        <f>3750+1500+1000</f>
        <v>6250</v>
      </c>
      <c r="G16" s="12">
        <v>0</v>
      </c>
      <c r="H16" s="12">
        <f t="shared" si="3"/>
        <v>6250</v>
      </c>
      <c r="I16" s="12">
        <v>7098.64</v>
      </c>
      <c r="J16" s="12">
        <f t="shared" si="7"/>
        <v>779.29</v>
      </c>
      <c r="K16" s="12">
        <v>6319.35</v>
      </c>
      <c r="L16" s="12">
        <f t="shared" si="9"/>
        <v>-848.64000000000033</v>
      </c>
    </row>
    <row r="17" spans="2:12" x14ac:dyDescent="0.25">
      <c r="B17" s="91" t="s">
        <v>10</v>
      </c>
      <c r="C17" s="8" t="s">
        <v>9</v>
      </c>
      <c r="D17" s="9"/>
      <c r="E17" s="9"/>
      <c r="F17" s="12">
        <f>1000+247.6+250</f>
        <v>1497.6</v>
      </c>
      <c r="G17" s="12">
        <v>0</v>
      </c>
      <c r="H17" s="12">
        <f t="shared" si="3"/>
        <v>1497.6</v>
      </c>
      <c r="I17" s="12">
        <v>636.69000000000005</v>
      </c>
      <c r="J17" s="12">
        <f t="shared" si="7"/>
        <v>0</v>
      </c>
      <c r="K17" s="12">
        <v>636.69000000000005</v>
      </c>
      <c r="L17" s="12">
        <f t="shared" si="9"/>
        <v>860.90999999999985</v>
      </c>
    </row>
    <row r="18" spans="2:12" x14ac:dyDescent="0.25">
      <c r="B18" s="91" t="s">
        <v>22</v>
      </c>
      <c r="C18" s="8" t="s">
        <v>93</v>
      </c>
      <c r="D18" s="9"/>
      <c r="E18" s="9"/>
      <c r="F18" s="12">
        <v>2250</v>
      </c>
      <c r="G18" s="12">
        <v>0</v>
      </c>
      <c r="H18" s="12">
        <f t="shared" si="3"/>
        <v>2250</v>
      </c>
      <c r="I18" s="12">
        <v>2150.1799999999998</v>
      </c>
      <c r="J18" s="12">
        <f t="shared" si="7"/>
        <v>0</v>
      </c>
      <c r="K18" s="12">
        <v>2150.1799999999998</v>
      </c>
      <c r="L18" s="12">
        <f t="shared" si="9"/>
        <v>99.820000000000164</v>
      </c>
    </row>
    <row r="19" spans="2:12" x14ac:dyDescent="0.25">
      <c r="B19" s="91" t="s">
        <v>31</v>
      </c>
      <c r="C19" s="9" t="s">
        <v>32</v>
      </c>
      <c r="D19" s="9"/>
      <c r="E19" s="9"/>
      <c r="F19" s="12">
        <f>3000+650+3000</f>
        <v>6650</v>
      </c>
      <c r="G19" s="12">
        <v>580.79999999999995</v>
      </c>
      <c r="H19" s="12">
        <f t="shared" si="3"/>
        <v>7230.8</v>
      </c>
      <c r="I19" s="12">
        <v>3941.49</v>
      </c>
      <c r="J19" s="12">
        <f t="shared" si="7"/>
        <v>98.259999999999764</v>
      </c>
      <c r="K19" s="12">
        <v>3843.23</v>
      </c>
      <c r="L19" s="12">
        <f t="shared" si="9"/>
        <v>3289.3100000000004</v>
      </c>
    </row>
    <row r="20" spans="2:12" ht="15.75" customHeight="1" x14ac:dyDescent="0.25">
      <c r="B20" s="91" t="s">
        <v>23</v>
      </c>
      <c r="C20" s="8" t="s">
        <v>94</v>
      </c>
      <c r="D20" s="9"/>
      <c r="E20" s="9"/>
      <c r="F20" s="12">
        <v>0</v>
      </c>
      <c r="G20" s="12">
        <v>0</v>
      </c>
      <c r="H20" s="12">
        <f t="shared" si="3"/>
        <v>0</v>
      </c>
      <c r="I20" s="12">
        <v>0</v>
      </c>
      <c r="J20" s="12">
        <f t="shared" si="7"/>
        <v>0</v>
      </c>
      <c r="K20" s="12">
        <v>0</v>
      </c>
      <c r="L20" s="12">
        <f t="shared" si="9"/>
        <v>0</v>
      </c>
    </row>
    <row r="21" spans="2:12" x14ac:dyDescent="0.25">
      <c r="B21" s="91" t="s">
        <v>39</v>
      </c>
      <c r="C21" s="9" t="s">
        <v>38</v>
      </c>
      <c r="D21" s="9"/>
      <c r="E21" s="9"/>
      <c r="F21" s="12">
        <f>1500+850+3000</f>
        <v>5350</v>
      </c>
      <c r="G21" s="12">
        <v>8959.42</v>
      </c>
      <c r="H21" s="12">
        <f t="shared" si="3"/>
        <v>14309.42</v>
      </c>
      <c r="I21" s="12">
        <v>3656.87</v>
      </c>
      <c r="J21" s="12">
        <f t="shared" si="7"/>
        <v>0</v>
      </c>
      <c r="K21" s="12">
        <v>3656.87</v>
      </c>
      <c r="L21" s="12">
        <f t="shared" si="9"/>
        <v>10652.55</v>
      </c>
    </row>
    <row r="22" spans="2:12" ht="15.75" customHeight="1" x14ac:dyDescent="0.25">
      <c r="B22" s="91" t="s">
        <v>51</v>
      </c>
      <c r="C22" s="9" t="s">
        <v>52</v>
      </c>
      <c r="D22" s="9"/>
      <c r="E22" s="9"/>
      <c r="F22" s="12">
        <f>30.85+5536.1</f>
        <v>5566.9500000000007</v>
      </c>
      <c r="G22" s="12">
        <v>0</v>
      </c>
      <c r="H22" s="12">
        <f t="shared" si="3"/>
        <v>5566.9500000000007</v>
      </c>
      <c r="I22" s="12">
        <v>9314.26</v>
      </c>
      <c r="J22" s="12">
        <f t="shared" si="7"/>
        <v>0</v>
      </c>
      <c r="K22" s="12">
        <v>9314.26</v>
      </c>
      <c r="L22" s="12">
        <f t="shared" si="9"/>
        <v>-3747.3099999999995</v>
      </c>
    </row>
    <row r="23" spans="2:12" ht="15.75" customHeight="1" x14ac:dyDescent="0.25">
      <c r="B23" s="99" t="s">
        <v>24</v>
      </c>
      <c r="C23" s="22" t="s">
        <v>116</v>
      </c>
      <c r="D23" s="9"/>
      <c r="E23" s="22"/>
      <c r="F23" s="12">
        <f>52000+48000+6079+18000+15000+4000+56000+16000+210000+120000+7920+66099.4+3000+750+30000+50000</f>
        <v>702848.4</v>
      </c>
      <c r="G23" s="12">
        <f>384332.47+1549.32+25234.05-20574.52-15969.52</f>
        <v>374571.79999999993</v>
      </c>
      <c r="H23" s="12">
        <f>F23+G23</f>
        <v>1077420.2</v>
      </c>
      <c r="I23" s="12">
        <v>735586.3</v>
      </c>
      <c r="J23" s="12">
        <f t="shared" si="7"/>
        <v>285039.39000000007</v>
      </c>
      <c r="K23" s="12">
        <v>450546.91</v>
      </c>
      <c r="L23" s="12">
        <f t="shared" si="9"/>
        <v>341833.89999999991</v>
      </c>
    </row>
    <row r="24" spans="2:12" x14ac:dyDescent="0.25">
      <c r="B24" s="91" t="s">
        <v>27</v>
      </c>
      <c r="C24" s="8" t="s">
        <v>117</v>
      </c>
      <c r="D24" s="9"/>
      <c r="E24" s="9"/>
      <c r="F24" s="12">
        <f>3000+1500+4270.59+9550+30000</f>
        <v>48320.59</v>
      </c>
      <c r="G24" s="12">
        <f>34056.83+20574.52+15969.52</f>
        <v>70600.87000000001</v>
      </c>
      <c r="H24" s="12">
        <f t="shared" si="3"/>
        <v>118921.46</v>
      </c>
      <c r="I24" s="12">
        <v>118495.03</v>
      </c>
      <c r="J24" s="12">
        <f t="shared" si="7"/>
        <v>31013</v>
      </c>
      <c r="K24" s="12">
        <v>87482.03</v>
      </c>
      <c r="L24" s="12">
        <f t="shared" si="9"/>
        <v>426.43000000000757</v>
      </c>
    </row>
    <row r="25" spans="2:12" x14ac:dyDescent="0.25">
      <c r="B25" s="91" t="s">
        <v>35</v>
      </c>
      <c r="C25" s="9" t="s">
        <v>25</v>
      </c>
      <c r="D25" s="9"/>
      <c r="E25" s="9"/>
      <c r="F25" s="12">
        <v>250</v>
      </c>
      <c r="G25" s="12">
        <v>0</v>
      </c>
      <c r="H25" s="12">
        <f t="shared" si="3"/>
        <v>250</v>
      </c>
      <c r="I25" s="12">
        <v>38.450000000000003</v>
      </c>
      <c r="J25" s="12">
        <f t="shared" si="7"/>
        <v>0</v>
      </c>
      <c r="K25" s="12">
        <v>38.450000000000003</v>
      </c>
      <c r="L25" s="12">
        <f t="shared" si="9"/>
        <v>211.55</v>
      </c>
    </row>
    <row r="26" spans="2:12" x14ac:dyDescent="0.25">
      <c r="B26" s="91" t="s">
        <v>36</v>
      </c>
      <c r="C26" s="9" t="s">
        <v>26</v>
      </c>
      <c r="D26" s="9"/>
      <c r="E26" s="9"/>
      <c r="F26" s="12">
        <f>2000+300+750</f>
        <v>3050</v>
      </c>
      <c r="G26" s="12">
        <v>0</v>
      </c>
      <c r="H26" s="12">
        <f t="shared" si="3"/>
        <v>3050</v>
      </c>
      <c r="I26" s="12">
        <v>0</v>
      </c>
      <c r="J26" s="12">
        <f t="shared" si="7"/>
        <v>0</v>
      </c>
      <c r="K26" s="12">
        <v>0</v>
      </c>
      <c r="L26" s="12">
        <f t="shared" si="9"/>
        <v>3050</v>
      </c>
    </row>
    <row r="27" spans="2:12" x14ac:dyDescent="0.25">
      <c r="B27" s="91" t="s">
        <v>33</v>
      </c>
      <c r="C27" s="9" t="s">
        <v>29</v>
      </c>
      <c r="D27" s="9"/>
      <c r="E27" s="9"/>
      <c r="F27" s="12">
        <v>250</v>
      </c>
      <c r="G27" s="12">
        <v>0</v>
      </c>
      <c r="H27" s="12">
        <f t="shared" si="3"/>
        <v>250</v>
      </c>
      <c r="I27" s="12">
        <v>97.15</v>
      </c>
      <c r="J27" s="12">
        <f t="shared" si="7"/>
        <v>0</v>
      </c>
      <c r="K27" s="12">
        <v>97.15</v>
      </c>
      <c r="L27" s="12">
        <f t="shared" si="9"/>
        <v>152.85</v>
      </c>
    </row>
    <row r="28" spans="2:12" x14ac:dyDescent="0.25">
      <c r="B28" s="91" t="s">
        <v>34</v>
      </c>
      <c r="C28" s="9" t="s">
        <v>30</v>
      </c>
      <c r="D28" s="9"/>
      <c r="E28" s="9"/>
      <c r="F28" s="12">
        <f>4000+750+1750</f>
        <v>6500</v>
      </c>
      <c r="G28" s="12">
        <v>0</v>
      </c>
      <c r="H28" s="12">
        <f t="shared" si="3"/>
        <v>6500</v>
      </c>
      <c r="I28" s="12">
        <v>545.26</v>
      </c>
      <c r="J28" s="12">
        <f t="shared" si="7"/>
        <v>0</v>
      </c>
      <c r="K28" s="12">
        <v>545.26</v>
      </c>
      <c r="L28" s="12">
        <f t="shared" si="9"/>
        <v>5954.74</v>
      </c>
    </row>
    <row r="29" spans="2:12" x14ac:dyDescent="0.25">
      <c r="B29" s="90" t="s">
        <v>28</v>
      </c>
      <c r="C29" s="10" t="s">
        <v>118</v>
      </c>
      <c r="D29" s="10"/>
      <c r="E29" s="10"/>
      <c r="F29" s="12">
        <f>4000+10000+10000+3000</f>
        <v>27000</v>
      </c>
      <c r="G29" s="12">
        <v>29591.91</v>
      </c>
      <c r="H29" s="12">
        <f t="shared" si="3"/>
        <v>56591.91</v>
      </c>
      <c r="I29" s="12">
        <v>39499.32</v>
      </c>
      <c r="J29" s="12">
        <f t="shared" si="7"/>
        <v>1609.4800000000032</v>
      </c>
      <c r="K29" s="12">
        <v>37889.839999999997</v>
      </c>
      <c r="L29" s="12">
        <f t="shared" si="9"/>
        <v>17092.590000000004</v>
      </c>
    </row>
    <row r="31" spans="2:12" ht="14.25" customHeight="1" x14ac:dyDescent="0.25"/>
    <row r="32" spans="2:12" ht="15" customHeight="1" x14ac:dyDescent="0.25">
      <c r="B32" s="113"/>
    </row>
    <row r="33" spans="2:4" ht="15" customHeight="1" x14ac:dyDescent="0.25">
      <c r="B33" s="113"/>
    </row>
    <row r="34" spans="2:4" ht="15" customHeight="1" x14ac:dyDescent="0.25">
      <c r="B34" s="113"/>
      <c r="C34" s="107"/>
      <c r="D34" s="107"/>
    </row>
  </sheetData>
  <printOptions horizontalCentered="1"/>
  <pageMargins left="0" right="0" top="0.39370078740157483" bottom="0.39370078740157483" header="0.31496062992125984" footer="0.15748031496062992"/>
  <pageSetup paperSize="9" scale="73" fitToHeight="0" orientation="landscape" r:id="rId1"/>
  <headerFooter>
    <oddFooter>&amp;CEstat d'execució del pressupost de l'IERMB a 31/12/2020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"/>
  <sheetViews>
    <sheetView showGridLines="0" view="pageLayout" zoomScaleNormal="100" workbookViewId="0">
      <selection activeCell="F34" sqref="F34"/>
    </sheetView>
  </sheetViews>
  <sheetFormatPr baseColWidth="10" defaultRowHeight="15" x14ac:dyDescent="0.25"/>
  <cols>
    <col min="1" max="1" width="16" customWidth="1"/>
    <col min="2" max="2" width="11.42578125" customWidth="1"/>
    <col min="3" max="3" width="1.28515625" customWidth="1"/>
    <col min="4" max="4" width="33" customWidth="1"/>
    <col min="5" max="5" width="12.140625" customWidth="1"/>
    <col min="6" max="6" width="13.42578125" customWidth="1"/>
    <col min="7" max="7" width="13.5703125" customWidth="1"/>
    <col min="8" max="8" width="15.28515625" customWidth="1"/>
    <col min="9" max="9" width="18.28515625" customWidth="1"/>
    <col min="10" max="10" width="17" customWidth="1"/>
    <col min="11" max="11" width="16.85546875" customWidth="1"/>
    <col min="12" max="12" width="16.140625" customWidth="1"/>
  </cols>
  <sheetData>
    <row r="2" spans="1:12" ht="15.75" thickBot="1" x14ac:dyDescent="0.3"/>
    <row r="3" spans="1:12" s="19" customFormat="1" ht="18" thickBot="1" x14ac:dyDescent="0.35">
      <c r="A3" s="44" t="s">
        <v>46</v>
      </c>
      <c r="B3" s="45"/>
      <c r="C3" s="45"/>
      <c r="D3" s="45"/>
      <c r="E3" s="45"/>
      <c r="F3" s="88">
        <f t="shared" ref="F3:H3" si="0">F7</f>
        <v>430</v>
      </c>
      <c r="G3" s="88">
        <f t="shared" si="0"/>
        <v>100</v>
      </c>
      <c r="H3" s="88">
        <f t="shared" si="0"/>
        <v>530</v>
      </c>
      <c r="I3" s="88">
        <f t="shared" ref="I3:L3" si="1">I7</f>
        <v>479.18</v>
      </c>
      <c r="J3" s="88">
        <f t="shared" si="1"/>
        <v>0</v>
      </c>
      <c r="K3" s="88">
        <f t="shared" si="1"/>
        <v>479.18</v>
      </c>
      <c r="L3" s="88">
        <f t="shared" si="1"/>
        <v>50.819999999999993</v>
      </c>
    </row>
    <row r="4" spans="1:12" ht="15.75" thickBot="1" x14ac:dyDescent="0.3"/>
    <row r="5" spans="1:12" s="47" customFormat="1" ht="45.75" thickBot="1" x14ac:dyDescent="0.3">
      <c r="A5" s="89" t="s">
        <v>64</v>
      </c>
      <c r="B5" s="59" t="s">
        <v>65</v>
      </c>
      <c r="C5" s="92"/>
      <c r="D5" s="93" t="s">
        <v>3</v>
      </c>
      <c r="E5" s="94"/>
      <c r="F5" s="79" t="s">
        <v>82</v>
      </c>
      <c r="G5" s="140" t="s">
        <v>129</v>
      </c>
      <c r="H5" s="101" t="s">
        <v>130</v>
      </c>
      <c r="I5" s="124" t="s">
        <v>155</v>
      </c>
      <c r="J5" s="125" t="s">
        <v>134</v>
      </c>
      <c r="K5" s="126" t="s">
        <v>135</v>
      </c>
      <c r="L5" s="127" t="s">
        <v>133</v>
      </c>
    </row>
    <row r="7" spans="1:12" ht="15.75" thickBot="1" x14ac:dyDescent="0.3">
      <c r="A7" s="60">
        <v>462</v>
      </c>
      <c r="B7" s="48">
        <v>3</v>
      </c>
      <c r="C7" s="49" t="s">
        <v>59</v>
      </c>
      <c r="D7" s="50"/>
      <c r="E7" s="61"/>
      <c r="F7" s="51">
        <f>SUM(F8:F11)</f>
        <v>430</v>
      </c>
      <c r="G7" s="51">
        <f>SUM(G8:G11)</f>
        <v>100</v>
      </c>
      <c r="H7" s="51">
        <f>SUM(H8:H11)</f>
        <v>530</v>
      </c>
      <c r="I7" s="51">
        <f t="shared" ref="I7:L7" si="2">SUM(I8:I11)</f>
        <v>479.18</v>
      </c>
      <c r="J7" s="51">
        <f t="shared" si="2"/>
        <v>0</v>
      </c>
      <c r="K7" s="51">
        <f t="shared" si="2"/>
        <v>479.18</v>
      </c>
      <c r="L7" s="51">
        <f t="shared" si="2"/>
        <v>50.819999999999993</v>
      </c>
    </row>
    <row r="8" spans="1:12" ht="15.75" thickTop="1" x14ac:dyDescent="0.25">
      <c r="A8" s="62" t="s">
        <v>66</v>
      </c>
      <c r="B8" s="91" t="s">
        <v>68</v>
      </c>
      <c r="C8" s="9" t="s">
        <v>95</v>
      </c>
      <c r="D8" s="9"/>
      <c r="E8" s="9"/>
      <c r="F8" s="20">
        <f>25+10+15</f>
        <v>50</v>
      </c>
      <c r="G8" s="20">
        <v>0</v>
      </c>
      <c r="H8" s="20">
        <f t="shared" ref="H8:H9" si="3">F8+G8</f>
        <v>50</v>
      </c>
      <c r="I8" s="12">
        <v>0</v>
      </c>
      <c r="J8" s="12">
        <f>I8-K8</f>
        <v>0</v>
      </c>
      <c r="K8" s="12">
        <v>0</v>
      </c>
      <c r="L8" s="12">
        <f>H8-I8</f>
        <v>50</v>
      </c>
    </row>
    <row r="9" spans="1:12" x14ac:dyDescent="0.25">
      <c r="A9" s="62" t="s">
        <v>84</v>
      </c>
      <c r="B9" s="91">
        <v>35900</v>
      </c>
      <c r="C9" s="9" t="s">
        <v>69</v>
      </c>
      <c r="D9" s="9"/>
      <c r="E9" s="9"/>
      <c r="F9" s="64">
        <f>250+30+100</f>
        <v>380</v>
      </c>
      <c r="G9" s="156">
        <v>100</v>
      </c>
      <c r="H9" s="20">
        <f t="shared" si="3"/>
        <v>480</v>
      </c>
      <c r="I9" s="12">
        <v>479.18</v>
      </c>
      <c r="J9" s="12">
        <f>I9-K9</f>
        <v>0</v>
      </c>
      <c r="K9" s="12">
        <v>479.18</v>
      </c>
      <c r="L9" s="12">
        <f>H9-I9</f>
        <v>0.81999999999999318</v>
      </c>
    </row>
    <row r="10" spans="1:12" x14ac:dyDescent="0.25">
      <c r="A10" s="23" t="s">
        <v>67</v>
      </c>
      <c r="B10" s="116"/>
      <c r="C10" s="117"/>
      <c r="D10" s="117"/>
      <c r="E10" s="117"/>
      <c r="F10" s="118"/>
      <c r="G10" s="118"/>
      <c r="H10" s="118"/>
    </row>
    <row r="11" spans="1:12" x14ac:dyDescent="0.25">
      <c r="B11" s="4"/>
      <c r="C11" s="4"/>
      <c r="D11" s="4"/>
      <c r="E11" s="4"/>
      <c r="F11" s="4"/>
      <c r="G11" s="4"/>
      <c r="H11" s="4"/>
    </row>
    <row r="12" spans="1:12" ht="15.75" thickBot="1" x14ac:dyDescent="0.3"/>
    <row r="13" spans="1:12" ht="18" thickBot="1" x14ac:dyDescent="0.35">
      <c r="A13" s="44" t="s">
        <v>141</v>
      </c>
      <c r="B13" s="45"/>
      <c r="C13" s="45"/>
      <c r="D13" s="45"/>
      <c r="E13" s="138"/>
      <c r="F13" s="88">
        <f t="shared" ref="F13:H13" si="4">F17</f>
        <v>0</v>
      </c>
      <c r="G13" s="88">
        <f t="shared" si="4"/>
        <v>28500</v>
      </c>
      <c r="H13" s="88">
        <f t="shared" si="4"/>
        <v>28500</v>
      </c>
      <c r="I13" s="88">
        <f t="shared" ref="I13:L13" si="5">I17</f>
        <v>28500</v>
      </c>
      <c r="J13" s="88">
        <f t="shared" si="5"/>
        <v>0</v>
      </c>
      <c r="K13" s="88">
        <f t="shared" si="5"/>
        <v>28500</v>
      </c>
      <c r="L13" s="88">
        <f t="shared" si="5"/>
        <v>0</v>
      </c>
    </row>
    <row r="14" spans="1:12" ht="15" customHeight="1" thickBot="1" x14ac:dyDescent="0.3"/>
    <row r="15" spans="1:12" ht="45.75" thickBot="1" x14ac:dyDescent="0.3">
      <c r="A15" s="89" t="s">
        <v>64</v>
      </c>
      <c r="B15" s="59" t="s">
        <v>65</v>
      </c>
      <c r="C15" s="92"/>
      <c r="D15" s="93" t="s">
        <v>3</v>
      </c>
      <c r="E15" s="139"/>
      <c r="F15" s="79" t="s">
        <v>82</v>
      </c>
      <c r="G15" s="140" t="s">
        <v>129</v>
      </c>
      <c r="H15" s="101" t="s">
        <v>130</v>
      </c>
      <c r="I15" s="124" t="s">
        <v>155</v>
      </c>
      <c r="J15" s="125" t="s">
        <v>134</v>
      </c>
      <c r="K15" s="126" t="s">
        <v>135</v>
      </c>
      <c r="L15" s="127" t="s">
        <v>133</v>
      </c>
    </row>
    <row r="17" spans="1:12" ht="15.75" thickBot="1" x14ac:dyDescent="0.3">
      <c r="A17" s="60">
        <v>462</v>
      </c>
      <c r="B17" s="48">
        <v>4</v>
      </c>
      <c r="C17" s="49" t="s">
        <v>137</v>
      </c>
      <c r="D17" s="50"/>
      <c r="E17" s="51"/>
      <c r="F17" s="51">
        <f>SUM(F18)</f>
        <v>0</v>
      </c>
      <c r="G17" s="51">
        <f t="shared" ref="G17:L17" si="6">SUM(G18)</f>
        <v>28500</v>
      </c>
      <c r="H17" s="51">
        <f t="shared" si="6"/>
        <v>28500</v>
      </c>
      <c r="I17" s="51">
        <f t="shared" si="6"/>
        <v>28500</v>
      </c>
      <c r="J17" s="51">
        <f t="shared" si="6"/>
        <v>0</v>
      </c>
      <c r="K17" s="51">
        <f t="shared" si="6"/>
        <v>28500</v>
      </c>
      <c r="L17" s="51">
        <f t="shared" si="6"/>
        <v>0</v>
      </c>
    </row>
    <row r="18" spans="1:12" ht="15.75" thickTop="1" x14ac:dyDescent="0.25">
      <c r="A18" s="62" t="s">
        <v>66</v>
      </c>
      <c r="B18" s="91" t="s">
        <v>142</v>
      </c>
      <c r="C18" s="9" t="s">
        <v>143</v>
      </c>
      <c r="D18" s="9"/>
      <c r="E18" s="20"/>
      <c r="F18" s="20">
        <v>0</v>
      </c>
      <c r="G18" s="12">
        <v>28500</v>
      </c>
      <c r="H18" s="12">
        <f>F18+G18</f>
        <v>28500</v>
      </c>
      <c r="I18" s="12">
        <v>28500</v>
      </c>
      <c r="J18" s="12">
        <f>I18-K18</f>
        <v>0</v>
      </c>
      <c r="K18" s="12">
        <v>28500</v>
      </c>
      <c r="L18" s="12">
        <f>H18-I18</f>
        <v>0</v>
      </c>
    </row>
    <row r="19" spans="1:12" x14ac:dyDescent="0.25">
      <c r="A19" s="62" t="s">
        <v>84</v>
      </c>
      <c r="B19" s="122"/>
      <c r="C19" s="4"/>
      <c r="D19" s="4"/>
      <c r="E19" s="123"/>
      <c r="F19" s="108"/>
      <c r="G19" s="108"/>
    </row>
    <row r="20" spans="1:12" x14ac:dyDescent="0.25">
      <c r="A20" s="23" t="s">
        <v>67</v>
      </c>
      <c r="B20" s="122"/>
      <c r="C20" s="4"/>
      <c r="D20" s="4"/>
      <c r="E20" s="123"/>
      <c r="F20" s="108"/>
      <c r="G20" s="108"/>
    </row>
    <row r="22" spans="1:12" ht="15.75" thickBot="1" x14ac:dyDescent="0.3"/>
    <row r="23" spans="1:12" ht="18" thickBot="1" x14ac:dyDescent="0.35">
      <c r="A23" s="44" t="s">
        <v>100</v>
      </c>
      <c r="B23" s="45"/>
      <c r="C23" s="45"/>
      <c r="D23" s="45"/>
      <c r="E23" s="45"/>
      <c r="F23" s="88">
        <f t="shared" ref="F23:H23" si="7">F27</f>
        <v>12000</v>
      </c>
      <c r="G23" s="88">
        <f t="shared" si="7"/>
        <v>16200</v>
      </c>
      <c r="H23" s="88">
        <f t="shared" si="7"/>
        <v>28200</v>
      </c>
      <c r="I23" s="88">
        <f t="shared" ref="I23:L23" si="8">I27</f>
        <v>17412.78</v>
      </c>
      <c r="J23" s="88">
        <f t="shared" si="8"/>
        <v>3553.9300000000003</v>
      </c>
      <c r="K23" s="88">
        <f t="shared" si="8"/>
        <v>13858.849999999999</v>
      </c>
      <c r="L23" s="88">
        <f t="shared" si="8"/>
        <v>10787.220000000001</v>
      </c>
    </row>
    <row r="24" spans="1:12" ht="15.75" thickBot="1" x14ac:dyDescent="0.3"/>
    <row r="25" spans="1:12" ht="45.75" thickBot="1" x14ac:dyDescent="0.3">
      <c r="A25" s="89" t="s">
        <v>64</v>
      </c>
      <c r="B25" s="59" t="s">
        <v>65</v>
      </c>
      <c r="C25" s="92"/>
      <c r="D25" s="93" t="s">
        <v>3</v>
      </c>
      <c r="E25" s="94"/>
      <c r="F25" s="79" t="s">
        <v>82</v>
      </c>
      <c r="G25" s="140" t="s">
        <v>129</v>
      </c>
      <c r="H25" s="101" t="s">
        <v>130</v>
      </c>
      <c r="I25" s="124" t="s">
        <v>155</v>
      </c>
      <c r="J25" s="125" t="s">
        <v>134</v>
      </c>
      <c r="K25" s="126" t="s">
        <v>135</v>
      </c>
      <c r="L25" s="127" t="s">
        <v>133</v>
      </c>
    </row>
    <row r="27" spans="1:12" ht="15.75" thickBot="1" x14ac:dyDescent="0.3">
      <c r="A27" s="60">
        <v>462</v>
      </c>
      <c r="B27" s="48">
        <v>6</v>
      </c>
      <c r="C27" s="49" t="s">
        <v>60</v>
      </c>
      <c r="D27" s="50"/>
      <c r="E27" s="61"/>
      <c r="F27" s="51">
        <f>SUM(F28:F32)</f>
        <v>12000</v>
      </c>
      <c r="G27" s="51">
        <f t="shared" ref="G27:L27" si="9">SUM(G28:G32)</f>
        <v>16200</v>
      </c>
      <c r="H27" s="51">
        <f t="shared" si="9"/>
        <v>28200</v>
      </c>
      <c r="I27" s="51">
        <f t="shared" si="9"/>
        <v>17412.78</v>
      </c>
      <c r="J27" s="51">
        <f t="shared" si="9"/>
        <v>3553.9300000000003</v>
      </c>
      <c r="K27" s="51">
        <f t="shared" si="9"/>
        <v>13858.849999999999</v>
      </c>
      <c r="L27" s="51">
        <f t="shared" si="9"/>
        <v>10787.220000000001</v>
      </c>
    </row>
    <row r="28" spans="1:12" ht="15.75" thickTop="1" x14ac:dyDescent="0.25">
      <c r="A28" s="60"/>
      <c r="B28" s="91" t="s">
        <v>124</v>
      </c>
      <c r="C28" s="8" t="s">
        <v>125</v>
      </c>
      <c r="D28" s="9"/>
      <c r="E28" s="8"/>
      <c r="F28" s="20">
        <v>500</v>
      </c>
      <c r="G28" s="20">
        <v>0</v>
      </c>
      <c r="H28" s="20">
        <f>F28+G28</f>
        <v>500</v>
      </c>
      <c r="I28" s="12">
        <v>0</v>
      </c>
      <c r="J28" s="12">
        <f>I28-K28</f>
        <v>0</v>
      </c>
      <c r="K28" s="12">
        <v>0</v>
      </c>
      <c r="L28" s="12">
        <f>H28-I28</f>
        <v>500</v>
      </c>
    </row>
    <row r="29" spans="1:12" x14ac:dyDescent="0.25">
      <c r="A29" s="62" t="s">
        <v>66</v>
      </c>
      <c r="B29" s="91" t="s">
        <v>40</v>
      </c>
      <c r="C29" s="8" t="s">
        <v>96</v>
      </c>
      <c r="D29" s="9"/>
      <c r="E29" s="8"/>
      <c r="F29" s="20">
        <f>250+500+750</f>
        <v>1500</v>
      </c>
      <c r="G29" s="20">
        <v>0</v>
      </c>
      <c r="H29" s="20">
        <f t="shared" ref="H29:H31" si="10">F29+G29</f>
        <v>1500</v>
      </c>
      <c r="I29" s="12">
        <v>3545.55</v>
      </c>
      <c r="J29" s="12">
        <f>I29-K29</f>
        <v>0</v>
      </c>
      <c r="K29" s="12">
        <v>3545.55</v>
      </c>
      <c r="L29" s="12">
        <f t="shared" ref="L29:L31" si="11">H29-I29</f>
        <v>-2045.5500000000002</v>
      </c>
    </row>
    <row r="30" spans="1:12" x14ac:dyDescent="0.25">
      <c r="A30" s="62" t="s">
        <v>84</v>
      </c>
      <c r="B30" s="91" t="s">
        <v>41</v>
      </c>
      <c r="C30" s="9" t="s">
        <v>97</v>
      </c>
      <c r="D30" s="9"/>
      <c r="E30" s="8"/>
      <c r="F30" s="20">
        <f>3000+1000+2500</f>
        <v>6500</v>
      </c>
      <c r="G30" s="20">
        <v>16200</v>
      </c>
      <c r="H30" s="20">
        <f t="shared" si="10"/>
        <v>22700</v>
      </c>
      <c r="I30" s="12">
        <v>11833.93</v>
      </c>
      <c r="J30" s="12">
        <f t="shared" ref="J30:J31" si="12">I30-K30</f>
        <v>3553.9300000000003</v>
      </c>
      <c r="K30" s="12">
        <v>8280</v>
      </c>
      <c r="L30" s="12">
        <f t="shared" si="11"/>
        <v>10866.07</v>
      </c>
    </row>
    <row r="31" spans="1:12" x14ac:dyDescent="0.25">
      <c r="A31" s="23" t="s">
        <v>67</v>
      </c>
      <c r="B31" s="90" t="s">
        <v>42</v>
      </c>
      <c r="C31" s="10" t="s">
        <v>98</v>
      </c>
      <c r="D31" s="9"/>
      <c r="E31" s="10"/>
      <c r="F31" s="20">
        <f>1000+500</f>
        <v>1500</v>
      </c>
      <c r="G31" s="156">
        <v>0</v>
      </c>
      <c r="H31" s="20">
        <f t="shared" si="10"/>
        <v>1500</v>
      </c>
      <c r="I31" s="12">
        <v>0</v>
      </c>
      <c r="J31" s="12">
        <f t="shared" si="12"/>
        <v>0</v>
      </c>
      <c r="K31" s="12">
        <v>0</v>
      </c>
      <c r="L31" s="12">
        <f t="shared" si="11"/>
        <v>1500</v>
      </c>
    </row>
    <row r="32" spans="1:12" x14ac:dyDescent="0.25">
      <c r="B32" s="91" t="s">
        <v>43</v>
      </c>
      <c r="C32" s="8" t="s">
        <v>99</v>
      </c>
      <c r="D32" s="9"/>
      <c r="E32" s="8"/>
      <c r="F32" s="20">
        <v>2000</v>
      </c>
      <c r="G32" s="20">
        <v>0</v>
      </c>
      <c r="H32" s="20">
        <f t="shared" ref="H32" si="13">F32+G32</f>
        <v>2000</v>
      </c>
      <c r="I32" s="12">
        <v>2033.3</v>
      </c>
      <c r="J32" s="12">
        <f t="shared" ref="J32" si="14">I32-K32</f>
        <v>0</v>
      </c>
      <c r="K32" s="12">
        <v>2033.3</v>
      </c>
      <c r="L32" s="12">
        <f t="shared" ref="L32" si="15">H32-I32</f>
        <v>-33.299999999999955</v>
      </c>
    </row>
  </sheetData>
  <printOptions horizontalCentered="1"/>
  <pageMargins left="0" right="0" top="0.39370078740157483" bottom="0.39370078740157483" header="0.31496062992125984" footer="0.15748031496062992"/>
  <pageSetup paperSize="9" scale="75" fitToHeight="0" orientation="landscape" r:id="rId1"/>
  <headerFooter>
    <oddFooter>&amp;CEstat d'execució del pressupost de l'IERMB a 31/12/2020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7" sqref="I27"/>
    </sheetView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</vt:lpstr>
      <vt:lpstr>Cap. 3 Ing. vendes</vt:lpstr>
      <vt:lpstr>Cap. 4 Ing. Transf.corrents</vt:lpstr>
      <vt:lpstr>Cap. 5 i 8 Ing. pat</vt:lpstr>
      <vt:lpstr>Cap. 1 Desp. Personal</vt:lpstr>
      <vt:lpstr>Cap. 2 Desp.Corrents</vt:lpstr>
      <vt:lpstr>Cap. 3-4-6 Df, Tc, Inv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Migoya Martinez</dc:creator>
  <cp:lastModifiedBy>María Reyes Ramírez Gómez</cp:lastModifiedBy>
  <cp:lastPrinted>2021-03-01T08:21:15Z</cp:lastPrinted>
  <dcterms:created xsi:type="dcterms:W3CDTF">2011-11-15T15:44:37Z</dcterms:created>
  <dcterms:modified xsi:type="dcterms:W3CDTF">2021-05-04T10:27:09Z</dcterms:modified>
</cp:coreProperties>
</file>