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IERMB-Administraci/Documentos compartidos/Administració/COMPTABILITAT/SEGUIMENT PRESSUPOSTARI/2021/Liquidació pressupost 2021/"/>
    </mc:Choice>
  </mc:AlternateContent>
  <xr:revisionPtr revIDLastSave="71" documentId="14_{00E9DFFA-B71E-42F9-B37F-ED3D90F632AD}" xr6:coauthVersionLast="47" xr6:coauthVersionMax="47" xr10:uidLastSave="{9D4C1641-9260-4CA1-B38B-950038001506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  <sheet name="Hoja2" sheetId="22" r:id="rId8"/>
    <sheet name="Hoja1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8" l="1"/>
  <c r="H52" i="15"/>
  <c r="H53" i="15"/>
  <c r="I33" i="18" l="1"/>
  <c r="K15" i="19" l="1"/>
  <c r="I15" i="19"/>
  <c r="K24" i="19"/>
  <c r="I24" i="19"/>
  <c r="G71" i="15"/>
  <c r="G67" i="15"/>
  <c r="I46" i="15"/>
  <c r="F45" i="15"/>
  <c r="I45" i="15" s="1"/>
  <c r="K25" i="18"/>
  <c r="G75" i="15" l="1"/>
  <c r="G80" i="15" s="1"/>
  <c r="I53" i="15"/>
  <c r="I27" i="18" l="1"/>
  <c r="J31" i="18"/>
  <c r="J30" i="18" s="1"/>
  <c r="H31" i="18"/>
  <c r="L31" i="18" s="1"/>
  <c r="L30" i="18" s="1"/>
  <c r="K30" i="18"/>
  <c r="I30" i="18"/>
  <c r="H30" i="18"/>
  <c r="G30" i="18"/>
  <c r="F30" i="18"/>
  <c r="I25" i="18"/>
  <c r="K19" i="19"/>
  <c r="I19" i="19"/>
  <c r="I23" i="19"/>
  <c r="J23" i="19" s="1"/>
  <c r="H23" i="19"/>
  <c r="L23" i="19" l="1"/>
  <c r="J25" i="11"/>
  <c r="F49" i="19" l="1"/>
  <c r="I23" i="18"/>
  <c r="K27" i="18"/>
  <c r="K23" i="18" s="1"/>
  <c r="I17" i="20"/>
  <c r="K17" i="20"/>
  <c r="F17" i="20"/>
  <c r="I10" i="19"/>
  <c r="F10" i="19"/>
  <c r="G23" i="18"/>
  <c r="F23" i="18"/>
  <c r="G13" i="18"/>
  <c r="I13" i="18"/>
  <c r="K13" i="18"/>
  <c r="F13" i="18"/>
  <c r="J16" i="18"/>
  <c r="H16" i="18"/>
  <c r="L16" i="18" s="1"/>
  <c r="J15" i="18"/>
  <c r="H15" i="18"/>
  <c r="L15" i="18" s="1"/>
  <c r="F32" i="18"/>
  <c r="F19" i="18"/>
  <c r="F17" i="18"/>
  <c r="G11" i="18"/>
  <c r="I11" i="18"/>
  <c r="K11" i="18"/>
  <c r="F11" i="18"/>
  <c r="F8" i="18"/>
  <c r="G28" i="18"/>
  <c r="I28" i="18"/>
  <c r="K28" i="18"/>
  <c r="F28" i="18"/>
  <c r="J29" i="18"/>
  <c r="J28" i="18" s="1"/>
  <c r="H29" i="18"/>
  <c r="H28" i="18" s="1"/>
  <c r="H22" i="19"/>
  <c r="L22" i="19" s="1"/>
  <c r="J22" i="19"/>
  <c r="J26" i="18"/>
  <c r="H26" i="18"/>
  <c r="L26" i="18" s="1"/>
  <c r="J34" i="18"/>
  <c r="H34" i="18"/>
  <c r="L34" i="18" s="1"/>
  <c r="L29" i="18" l="1"/>
  <c r="L28" i="18" s="1"/>
  <c r="G19" i="20"/>
  <c r="G17" i="20" s="1"/>
  <c r="G10" i="16"/>
  <c r="F37" i="19"/>
  <c r="H14" i="19"/>
  <c r="L14" i="19" s="1"/>
  <c r="J14" i="19"/>
  <c r="J13" i="19"/>
  <c r="H13" i="19"/>
  <c r="L13" i="19" s="1"/>
  <c r="G19" i="18"/>
  <c r="I19" i="18"/>
  <c r="K19" i="18"/>
  <c r="J22" i="18"/>
  <c r="H22" i="18"/>
  <c r="L22" i="18" s="1"/>
  <c r="J22" i="11"/>
  <c r="H22" i="11"/>
  <c r="L22" i="11" s="1"/>
  <c r="J18" i="20"/>
  <c r="H18" i="20"/>
  <c r="G8" i="11"/>
  <c r="K33" i="18"/>
  <c r="G33" i="18"/>
  <c r="K35" i="18"/>
  <c r="I35" i="18"/>
  <c r="J14" i="18"/>
  <c r="J13" i="18" s="1"/>
  <c r="H13" i="18"/>
  <c r="G15" i="19"/>
  <c r="G10" i="19" s="1"/>
  <c r="J28" i="19"/>
  <c r="J25" i="18"/>
  <c r="J21" i="18"/>
  <c r="H21" i="18"/>
  <c r="L21" i="18" s="1"/>
  <c r="H25" i="18"/>
  <c r="K9" i="19"/>
  <c r="I9" i="19"/>
  <c r="L18" i="20" l="1"/>
  <c r="L25" i="18"/>
  <c r="H15" i="19"/>
  <c r="L14" i="18"/>
  <c r="L13" i="18" s="1"/>
  <c r="G30" i="11" l="1"/>
  <c r="I8" i="18" l="1"/>
  <c r="K8" i="18"/>
  <c r="G8" i="18"/>
  <c r="J10" i="18" l="1"/>
  <c r="H10" i="18"/>
  <c r="L10" i="18" l="1"/>
  <c r="J37" i="18"/>
  <c r="J36" i="18" s="1"/>
  <c r="H37" i="18"/>
  <c r="L37" i="18" s="1"/>
  <c r="L36" i="18" s="1"/>
  <c r="K36" i="18"/>
  <c r="I36" i="18"/>
  <c r="G36" i="18"/>
  <c r="F36" i="18"/>
  <c r="F7" i="18" s="1"/>
  <c r="K21" i="19"/>
  <c r="H21" i="19"/>
  <c r="L21" i="19" s="1"/>
  <c r="J20" i="19"/>
  <c r="H20" i="19"/>
  <c r="J21" i="19" l="1"/>
  <c r="K10" i="19"/>
  <c r="L20" i="19"/>
  <c r="H36" i="18"/>
  <c r="J33" i="18" l="1"/>
  <c r="L9" i="19"/>
  <c r="K30" i="19"/>
  <c r="K25" i="19"/>
  <c r="H10" i="16"/>
  <c r="H11" i="16"/>
  <c r="H12" i="16"/>
  <c r="H13" i="16"/>
  <c r="H14" i="16"/>
  <c r="H15" i="16"/>
  <c r="H9" i="16"/>
  <c r="H8" i="16"/>
  <c r="H10" i="11"/>
  <c r="H11" i="11"/>
  <c r="H12" i="11"/>
  <c r="H13" i="11"/>
  <c r="H14" i="11"/>
  <c r="H15" i="11"/>
  <c r="H16" i="11"/>
  <c r="H17" i="11"/>
  <c r="H18" i="11"/>
  <c r="H19" i="11"/>
  <c r="J23" i="17"/>
  <c r="J22" i="17" s="1"/>
  <c r="H23" i="17"/>
  <c r="L23" i="17" s="1"/>
  <c r="L22" i="17" s="1"/>
  <c r="K22" i="17"/>
  <c r="I22" i="17"/>
  <c r="G22" i="17"/>
  <c r="F22" i="17"/>
  <c r="H11" i="19"/>
  <c r="H31" i="19"/>
  <c r="L11" i="19" l="1"/>
  <c r="H22" i="17"/>
  <c r="J30" i="20" l="1"/>
  <c r="H24" i="19" l="1"/>
  <c r="L24" i="19" l="1"/>
  <c r="J15" i="19" l="1"/>
  <c r="I7" i="11" l="1"/>
  <c r="K7" i="11"/>
  <c r="I28" i="20"/>
  <c r="K28" i="20"/>
  <c r="J21" i="11"/>
  <c r="G17" i="18"/>
  <c r="I17" i="18"/>
  <c r="K17" i="18"/>
  <c r="J8" i="16" l="1"/>
  <c r="G32" i="18"/>
  <c r="G7" i="18" s="1"/>
  <c r="I32" i="18"/>
  <c r="I7" i="18" s="1"/>
  <c r="K32" i="18"/>
  <c r="K7" i="18" s="1"/>
  <c r="J35" i="18"/>
  <c r="J9" i="18"/>
  <c r="J8" i="18" s="1"/>
  <c r="H9" i="18"/>
  <c r="H8" i="18" l="1"/>
  <c r="L9" i="18"/>
  <c r="L8" i="18" s="1"/>
  <c r="J13" i="11" l="1"/>
  <c r="J11" i="19" l="1"/>
  <c r="J14" i="11"/>
  <c r="J15" i="11"/>
  <c r="J16" i="11"/>
  <c r="J17" i="11"/>
  <c r="J18" i="11"/>
  <c r="J19" i="11"/>
  <c r="J20" i="11"/>
  <c r="J23" i="11"/>
  <c r="J24" i="11"/>
  <c r="J26" i="11"/>
  <c r="J27" i="11"/>
  <c r="J28" i="11"/>
  <c r="J29" i="11"/>
  <c r="J30" i="11"/>
  <c r="L16" i="11"/>
  <c r="J12" i="11"/>
  <c r="J11" i="11"/>
  <c r="J10" i="11"/>
  <c r="L10" i="11" l="1"/>
  <c r="L8" i="16"/>
  <c r="J8" i="19"/>
  <c r="J31" i="19"/>
  <c r="G25" i="19"/>
  <c r="I25" i="19"/>
  <c r="F25" i="19"/>
  <c r="I30" i="19"/>
  <c r="F30" i="19"/>
  <c r="G30" i="19"/>
  <c r="J29" i="19"/>
  <c r="H29" i="19"/>
  <c r="H28" i="19"/>
  <c r="J27" i="19"/>
  <c r="H27" i="19"/>
  <c r="J26" i="19"/>
  <c r="H26" i="19"/>
  <c r="J32" i="19"/>
  <c r="H32" i="19"/>
  <c r="L31" i="19"/>
  <c r="G7" i="19" l="1"/>
  <c r="G3" i="19" s="1"/>
  <c r="E8" i="15" s="1"/>
  <c r="L28" i="19"/>
  <c r="F7" i="19"/>
  <c r="I7" i="19"/>
  <c r="I3" i="19" s="1"/>
  <c r="G8" i="15" s="1"/>
  <c r="K7" i="19"/>
  <c r="L26" i="19"/>
  <c r="L27" i="19"/>
  <c r="J30" i="19"/>
  <c r="L29" i="19"/>
  <c r="L32" i="19"/>
  <c r="L30" i="19" s="1"/>
  <c r="J25" i="19"/>
  <c r="H25" i="19"/>
  <c r="H30" i="19"/>
  <c r="G28" i="20"/>
  <c r="G24" i="20" s="1"/>
  <c r="E24" i="15" s="1"/>
  <c r="I24" i="20"/>
  <c r="G24" i="15" s="1"/>
  <c r="K24" i="20"/>
  <c r="I24" i="15" s="1"/>
  <c r="H33" i="20"/>
  <c r="J33" i="20"/>
  <c r="J32" i="20"/>
  <c r="J31" i="20"/>
  <c r="J29" i="20"/>
  <c r="H29" i="20"/>
  <c r="J19" i="20"/>
  <c r="J17" i="20" s="1"/>
  <c r="H19" i="20"/>
  <c r="H17" i="20" s="1"/>
  <c r="K13" i="20"/>
  <c r="I23" i="15" s="1"/>
  <c r="I13" i="20"/>
  <c r="G23" i="15" s="1"/>
  <c r="G13" i="20"/>
  <c r="E23" i="15" s="1"/>
  <c r="J9" i="20"/>
  <c r="H9" i="20"/>
  <c r="J8" i="20"/>
  <c r="H8" i="20"/>
  <c r="K7" i="20"/>
  <c r="K3" i="20" s="1"/>
  <c r="I22" i="15" s="1"/>
  <c r="I7" i="20"/>
  <c r="I3" i="20" s="1"/>
  <c r="G22" i="15" s="1"/>
  <c r="G43" i="15" s="1"/>
  <c r="I43" i="15" s="1"/>
  <c r="G7" i="20"/>
  <c r="G3" i="20" s="1"/>
  <c r="E22" i="15" s="1"/>
  <c r="F13" i="20"/>
  <c r="D23" i="15" s="1"/>
  <c r="H30" i="11"/>
  <c r="H29" i="11"/>
  <c r="H28" i="11"/>
  <c r="H27" i="11"/>
  <c r="H26" i="11"/>
  <c r="H25" i="11"/>
  <c r="H24" i="11"/>
  <c r="H23" i="11"/>
  <c r="H21" i="11"/>
  <c r="H20" i="11"/>
  <c r="J9" i="11"/>
  <c r="H9" i="11"/>
  <c r="J8" i="11"/>
  <c r="H8" i="11"/>
  <c r="K3" i="11"/>
  <c r="I21" i="15" s="1"/>
  <c r="I3" i="11"/>
  <c r="G21" i="15" s="1"/>
  <c r="G7" i="11"/>
  <c r="G3" i="11" s="1"/>
  <c r="E21" i="15" s="1"/>
  <c r="L9" i="16"/>
  <c r="L14" i="16"/>
  <c r="J15" i="16"/>
  <c r="L15" i="16"/>
  <c r="J14" i="16"/>
  <c r="J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9" i="17"/>
  <c r="F18" i="17" s="1"/>
  <c r="F14" i="17" s="1"/>
  <c r="D11" i="15" s="1"/>
  <c r="J20" i="17"/>
  <c r="J19" i="17" s="1"/>
  <c r="H20" i="17"/>
  <c r="K19" i="17"/>
  <c r="K18" i="17" s="1"/>
  <c r="K14" i="17" s="1"/>
  <c r="I11" i="15" s="1"/>
  <c r="I19" i="17"/>
  <c r="G19" i="17"/>
  <c r="J9" i="17"/>
  <c r="J8" i="17" s="1"/>
  <c r="J7" i="17" s="1"/>
  <c r="J3" i="17" s="1"/>
  <c r="H10" i="15" s="1"/>
  <c r="H9" i="17"/>
  <c r="K8" i="17"/>
  <c r="K7" i="17" s="1"/>
  <c r="K3" i="17" s="1"/>
  <c r="I10" i="15" s="1"/>
  <c r="I8" i="17"/>
  <c r="I7" i="17" s="1"/>
  <c r="I3" i="17" s="1"/>
  <c r="G10" i="15" s="1"/>
  <c r="G8" i="17"/>
  <c r="G7" i="17" s="1"/>
  <c r="G3" i="17" s="1"/>
  <c r="E10" i="15" s="1"/>
  <c r="H33" i="18"/>
  <c r="H24" i="18"/>
  <c r="H20" i="18"/>
  <c r="H19" i="18" s="1"/>
  <c r="H18" i="18"/>
  <c r="J32" i="18"/>
  <c r="J27" i="18"/>
  <c r="J20" i="18"/>
  <c r="J19" i="18" s="1"/>
  <c r="J18" i="18"/>
  <c r="J17" i="18" s="1"/>
  <c r="J12" i="18"/>
  <c r="J11" i="18" s="1"/>
  <c r="H12" i="18"/>
  <c r="H11" i="18" s="1"/>
  <c r="J24" i="19"/>
  <c r="J19" i="19"/>
  <c r="H19" i="19"/>
  <c r="J18" i="19"/>
  <c r="H18" i="19"/>
  <c r="J17" i="19"/>
  <c r="J16" i="19"/>
  <c r="H16" i="19"/>
  <c r="J12" i="19"/>
  <c r="H12" i="19"/>
  <c r="H8" i="19"/>
  <c r="G42" i="15" l="1"/>
  <c r="G44" i="15" s="1"/>
  <c r="G48" i="15" s="1"/>
  <c r="L12" i="19"/>
  <c r="J10" i="19"/>
  <c r="J7" i="19" s="1"/>
  <c r="G3" i="18"/>
  <c r="E9" i="15" s="1"/>
  <c r="L19" i="19"/>
  <c r="L18" i="18"/>
  <c r="L17" i="18" s="1"/>
  <c r="K3" i="18"/>
  <c r="I9" i="15" s="1"/>
  <c r="J13" i="20"/>
  <c r="H23" i="15" s="1"/>
  <c r="L33" i="20"/>
  <c r="H8" i="17"/>
  <c r="H7" i="17" s="1"/>
  <c r="H3" i="17" s="1"/>
  <c r="F10" i="15" s="1"/>
  <c r="J18" i="17"/>
  <c r="J14" i="17" s="1"/>
  <c r="H11" i="15" s="1"/>
  <c r="G18" i="17"/>
  <c r="G14" i="17" s="1"/>
  <c r="E11" i="15" s="1"/>
  <c r="L29" i="20"/>
  <c r="I14" i="17"/>
  <c r="G11" i="15" s="1"/>
  <c r="I18" i="17"/>
  <c r="L9" i="20"/>
  <c r="L8" i="19"/>
  <c r="H13" i="20"/>
  <c r="F23" i="15" s="1"/>
  <c r="L19" i="20"/>
  <c r="L17" i="20" s="1"/>
  <c r="H7" i="20"/>
  <c r="H3" i="20" s="1"/>
  <c r="F22" i="15" s="1"/>
  <c r="L8" i="11"/>
  <c r="L13" i="11"/>
  <c r="L14" i="11"/>
  <c r="L17" i="11"/>
  <c r="L18" i="11"/>
  <c r="L11" i="11"/>
  <c r="L9" i="11"/>
  <c r="L26" i="11"/>
  <c r="L27" i="11"/>
  <c r="L23" i="11"/>
  <c r="L19" i="11"/>
  <c r="L28" i="11"/>
  <c r="L20" i="11"/>
  <c r="L29" i="11"/>
  <c r="L21" i="11"/>
  <c r="L30" i="11"/>
  <c r="H19" i="17"/>
  <c r="L12" i="18"/>
  <c r="L11" i="18" s="1"/>
  <c r="L33" i="18"/>
  <c r="L24" i="18"/>
  <c r="H17" i="18"/>
  <c r="L20" i="18"/>
  <c r="L19" i="18" s="1"/>
  <c r="L18" i="19"/>
  <c r="L16" i="19"/>
  <c r="L25" i="19"/>
  <c r="L13" i="16"/>
  <c r="L12" i="16"/>
  <c r="L15" i="11"/>
  <c r="L12" i="11"/>
  <c r="L25" i="11"/>
  <c r="J28" i="20"/>
  <c r="J24" i="20" s="1"/>
  <c r="H24" i="15" s="1"/>
  <c r="J7" i="11"/>
  <c r="J3" i="11" s="1"/>
  <c r="H21" i="15" s="1"/>
  <c r="L24" i="11"/>
  <c r="J7" i="20"/>
  <c r="J3" i="20" s="1"/>
  <c r="H22" i="15" s="1"/>
  <c r="L8" i="20"/>
  <c r="H7" i="11"/>
  <c r="H3" i="11" s="1"/>
  <c r="F21" i="15" s="1"/>
  <c r="J7" i="16"/>
  <c r="J3" i="16" s="1"/>
  <c r="H20" i="15" s="1"/>
  <c r="H7" i="16"/>
  <c r="L10" i="16"/>
  <c r="L20" i="17"/>
  <c r="L19" i="17" s="1"/>
  <c r="L9" i="17"/>
  <c r="L8" i="17" s="1"/>
  <c r="L7" i="17" s="1"/>
  <c r="L3" i="17" s="1"/>
  <c r="J10" i="15" s="1"/>
  <c r="J24" i="18"/>
  <c r="K3" i="19"/>
  <c r="I8" i="15" s="1"/>
  <c r="E26" i="15"/>
  <c r="G26" i="15"/>
  <c r="I26" i="15"/>
  <c r="F32" i="20"/>
  <c r="H32" i="20" s="1"/>
  <c r="F31" i="20"/>
  <c r="H31" i="20" s="1"/>
  <c r="L31" i="20" s="1"/>
  <c r="F30" i="20"/>
  <c r="I13" i="15" l="1"/>
  <c r="I29" i="15" s="1"/>
  <c r="J23" i="18"/>
  <c r="J7" i="18" s="1"/>
  <c r="J3" i="18" s="1"/>
  <c r="H9" i="15" s="1"/>
  <c r="L13" i="20"/>
  <c r="J23" i="15" s="1"/>
  <c r="L32" i="20"/>
  <c r="L18" i="17"/>
  <c r="L14" i="17" s="1"/>
  <c r="J11" i="15" s="1"/>
  <c r="H18" i="17"/>
  <c r="H14" i="17" s="1"/>
  <c r="F11" i="15" s="1"/>
  <c r="F28" i="20"/>
  <c r="F24" i="20" s="1"/>
  <c r="H30" i="20"/>
  <c r="L7" i="20"/>
  <c r="L3" i="20" s="1"/>
  <c r="J22" i="15" s="1"/>
  <c r="L7" i="11"/>
  <c r="L3" i="11" s="1"/>
  <c r="J21" i="15" s="1"/>
  <c r="J3" i="19"/>
  <c r="H8" i="15" s="1"/>
  <c r="I3" i="18"/>
  <c r="G9" i="15" s="1"/>
  <c r="H26" i="15"/>
  <c r="F7" i="11"/>
  <c r="G13" i="15" l="1"/>
  <c r="G29" i="15" s="1"/>
  <c r="F42" i="15"/>
  <c r="H13" i="15"/>
  <c r="H29" i="15" s="1"/>
  <c r="H28" i="20"/>
  <c r="H24" i="20" s="1"/>
  <c r="F24" i="15" s="1"/>
  <c r="L30" i="20"/>
  <c r="L28" i="20" s="1"/>
  <c r="L24" i="20" s="1"/>
  <c r="J24" i="15" s="1"/>
  <c r="H17" i="19"/>
  <c r="F44" i="15" l="1"/>
  <c r="I42" i="15"/>
  <c r="H10" i="19"/>
  <c r="L17" i="19"/>
  <c r="H27" i="18"/>
  <c r="H23" i="18" s="1"/>
  <c r="D24" i="15"/>
  <c r="F7" i="16"/>
  <c r="F7" i="20"/>
  <c r="F3" i="20" s="1"/>
  <c r="D22" i="15" s="1"/>
  <c r="F3" i="11"/>
  <c r="D21" i="15" s="1"/>
  <c r="F8" i="17"/>
  <c r="F7" i="17" s="1"/>
  <c r="F3" i="17" s="1"/>
  <c r="D10" i="15" s="1"/>
  <c r="F48" i="15" l="1"/>
  <c r="I48" i="15" s="1"/>
  <c r="I55" i="15" s="1"/>
  <c r="I44" i="15"/>
  <c r="L27" i="18"/>
  <c r="L23" i="18" s="1"/>
  <c r="H35" i="18"/>
  <c r="F3" i="19"/>
  <c r="D8" i="15" s="1"/>
  <c r="L15" i="19"/>
  <c r="L10" i="19" s="1"/>
  <c r="F3" i="16"/>
  <c r="D20" i="15" s="1"/>
  <c r="D26" i="15" s="1"/>
  <c r="F3" i="18" l="1"/>
  <c r="D9" i="15" s="1"/>
  <c r="D13" i="15" s="1"/>
  <c r="L35" i="18"/>
  <c r="L32" i="18" s="1"/>
  <c r="L7" i="18" s="1"/>
  <c r="H32" i="18"/>
  <c r="H7" i="18" s="1"/>
  <c r="L7" i="19"/>
  <c r="L7" i="16"/>
  <c r="L3" i="16" s="1"/>
  <c r="J20" i="15" s="1"/>
  <c r="J26" i="15" s="1"/>
  <c r="H3" i="16"/>
  <c r="F20" i="15" s="1"/>
  <c r="F26" i="15" s="1"/>
  <c r="H3" i="18" l="1"/>
  <c r="F9" i="15" s="1"/>
  <c r="L3" i="18"/>
  <c r="J9" i="15" s="1"/>
  <c r="H7" i="19"/>
  <c r="H3" i="19" s="1"/>
  <c r="F8" i="15" s="1"/>
  <c r="E13" i="15"/>
  <c r="E29" i="15" s="1"/>
  <c r="F13" i="15" l="1"/>
  <c r="F29" i="15" s="1"/>
  <c r="L3" i="19"/>
  <c r="J8" i="15" s="1"/>
  <c r="J13" i="15" s="1"/>
  <c r="J2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Romero Valle</author>
    <author>Ana</author>
  </authors>
  <commentList>
    <comment ref="G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Anna Romero Valle:</t>
        </r>
        <r>
          <rPr>
            <sz val="9"/>
            <color indexed="81"/>
            <rFont val="Tahoma"/>
            <family val="2"/>
          </rPr>
          <t xml:space="preserve">
Reajustar amb modificacions crèdit
249.000 €</t>
        </r>
      </text>
    </comment>
    <comment ref="I29" authorId="1" shapeId="0" xr:uid="{A14A799D-74BE-4B82-AEB1-761A10DDF6D1}">
      <text>
        <r>
          <rPr>
            <b/>
            <sz val="9"/>
            <color indexed="81"/>
            <rFont val="Tahoma"/>
            <family val="2"/>
          </rPr>
          <t>Ana:</t>
        </r>
        <r>
          <rPr>
            <sz val="9"/>
            <color indexed="81"/>
            <rFont val="Tahoma"/>
            <family val="2"/>
          </rPr>
          <t xml:space="preserve">
8400 € GETXO
1400 € Rehab. Energ.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tc={EBFCF768-CB56-4F47-9409-577EF9AC7C8E}</author>
    <author>tc={B048008B-B2FE-475F-A5AC-388C70443FB5}</author>
    <author>tc={E0B74056-576F-457D-AA8D-FBAB7367E19C}</author>
    <author>tc={EBC55FD4-E210-4684-B38B-7442F494D39A}</author>
    <author>tc={48B201A7-B39C-4AFA-B198-6F4DAA0125A2}</author>
  </authors>
  <commentList>
    <comment ref="I25" authorId="0" shapeId="0" xr:uid="{EBFCF768-CB56-4F47-9409-577EF9AC7C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CP = 326.000€; restants 27.849,97€???</t>
      </text>
    </comment>
    <comment ref="I27" authorId="1" shapeId="0" xr:uid="{B048008B-B2FE-475F-A5AC-388C70443F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Què inclou? DFN 2020???
Respuesta:
    23500 € IIAB
3500 € IERMB
9700 € IERMB</t>
      </text>
    </comment>
    <comment ref="B28" authorId="2" shapeId="0" xr:uid="{E0B74056-576F-457D-AA8D-FBAB7367E19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partida pressupostària</t>
      </text>
    </comment>
    <comment ref="B30" authorId="3" shapeId="0" xr:uid="{EBC55FD4-E210-4684-B38B-7442F494D39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partida pressupostària</t>
      </text>
    </comment>
    <comment ref="I35" authorId="4" shapeId="0" xr:uid="{48B201A7-B39C-4AFA-B198-6F4DAA0125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DFN 2020</t>
      </text>
    </comment>
  </commentList>
</comments>
</file>

<file path=xl/sharedStrings.xml><?xml version="1.0" encoding="utf-8"?>
<sst xmlns="http://schemas.openxmlformats.org/spreadsheetml/2006/main" count="420" uniqueCount="239">
  <si>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</si>
  <si>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</si>
  <si>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</si>
  <si>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</si>
  <si>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</si>
  <si>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</si>
  <si>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</si>
  <si>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</si>
  <si>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</si>
  <si>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</si>
  <si>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</si>
  <si>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</si>
  <si>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</si>
  <si>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</si>
  <si>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</si>
  <si>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</si>
  <si>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</si>
  <si>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</si>
  <si>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</si>
  <si>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</si>
  <si>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</si>
  <si>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</si>
  <si>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</si>
  <si>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</si>
  <si>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</si>
  <si>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</si>
  <si>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</si>
  <si>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</si>
  <si>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</si>
  <si>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</si>
  <si>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</si>
  <si>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</si>
  <si>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</si>
  <si>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</si>
  <si>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</si>
  <si>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</si>
  <si>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</si>
  <si>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</si>
  <si>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</si>
  <si>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</si>
  <si>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</si>
  <si>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</si>
  <si>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</si>
  <si>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</si>
  <si>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</si>
  <si>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</si>
  <si>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</si>
  <si>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</si>
  <si>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</si>
  <si>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</si>
  <si>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</si>
  <si>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</si>
  <si>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</si>
  <si>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</si>
  <si>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</si>
  <si>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</si>
  <si>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</si>
  <si>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</si>
  <si>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</si>
  <si>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</si>
  <si>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</si>
  <si>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</si>
  <si>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</si>
  <si>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</si>
  <si>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</si>
  <si>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</si>
  <si>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</si>
  <si>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</si>
  <si>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</si>
  <si>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</si>
  <si>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</si>
  <si>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</si>
  <si>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</si>
  <si>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</si>
  <si>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</si>
  <si>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</si>
  <si>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</si>
  <si>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</si>
  <si>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</si>
  <si>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</si>
  <si>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</si>
  <si>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</si>
  <si>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</si>
  <si>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</si>
  <si>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</si>
  <si>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</si>
  <si>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</si>
  <si>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</si>
  <si>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</si>
  <si>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</si>
  <si>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</si>
  <si>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</si>
  <si>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</si>
  <si>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</si>
  <si>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</si>
  <si>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</si>
  <si>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</si>
  <si>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</si>
  <si>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</si>
  <si>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</si>
  <si>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</si>
  <si>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</si>
  <si>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</si>
  <si>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</si>
  <si>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</si>
  <si>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</si>
  <si>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</si>
  <si>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</si>
  <si>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</si>
  <si>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</si>
  <si>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</si>
  <si>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</si>
  <si>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</si>
  <si>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</si>
  <si>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</si>
  <si>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</si>
  <si>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</si>
  <si>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</si>
  <si>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</si>
  <si>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</si>
  <si>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</si>
  <si>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</si>
  <si>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</si>
  <si>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</si>
  <si>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</si>
  <si>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</si>
  <si>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</si>
  <si>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</si>
  <si>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</si>
  <si>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</si>
  <si>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</si>
  <si>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</si>
  <si>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</si>
  <si>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</si>
  <si>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</si>
  <si>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</si>
  <si>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</si>
  <si>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</si>
  <si>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</si>
  <si>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</si>
  <si>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</si>
  <si>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</si>
  <si>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</si>
  <si>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</si>
  <si>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</si>
  <si>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</si>
  <si>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AMB- Ajuntament Hospitalet de Llobregat</t>
  </si>
  <si>
    <t>Romanent de Tresoreria per a despeses generals</t>
  </si>
  <si>
    <t>Altres reintegraments d'operacions corrents</t>
  </si>
  <si>
    <t>Estratègies i potencial de rehabilitació</t>
  </si>
  <si>
    <t>ESPC 2020  2a. Fase</t>
  </si>
  <si>
    <t xml:space="preserve">Generalitat Catalunya </t>
  </si>
  <si>
    <t>Altres transferències de la Unió Europea</t>
  </si>
  <si>
    <t xml:space="preserve">H2020_SABRA </t>
  </si>
  <si>
    <t>Altres transferències corrents d'organismes autònoms i agències</t>
  </si>
  <si>
    <t>Encomana de gestió Pla de Treball OHB 2021 (25%)</t>
  </si>
  <si>
    <t>D'organismes autònoms i agències de les comunitats autònomes</t>
  </si>
  <si>
    <t>MAF4SURE - Agencia Estatal Investigació</t>
  </si>
  <si>
    <t>Bio-Landscape - Agencia Estatal Investigació</t>
  </si>
  <si>
    <t>45390</t>
  </si>
  <si>
    <t>Altres subvencions a societats mercantils, entitat públ…</t>
  </si>
  <si>
    <t>22610</t>
  </si>
  <si>
    <t>Comunicació</t>
  </si>
  <si>
    <t>Vehicle privat</t>
  </si>
  <si>
    <t>UBMS</t>
  </si>
  <si>
    <t xml:space="preserve">Ajuntament Barberà Vallès </t>
  </si>
  <si>
    <t>UAB -Màster Metropoli</t>
  </si>
  <si>
    <t>UAB - GIS-LET</t>
  </si>
  <si>
    <t>La Confederació - Contractació Pública</t>
  </si>
  <si>
    <t>Observatori DESC</t>
  </si>
  <si>
    <t xml:space="preserve">Altres estudis o activitats:  </t>
  </si>
  <si>
    <t>Ajuntament Getxo</t>
  </si>
  <si>
    <t>El Globus Vermell AC - Jornades Lcurcoll</t>
  </si>
  <si>
    <t>Encomana de gestió Pla de Treball OHB 2021 (75%)*</t>
  </si>
  <si>
    <t>Explotació mostra municipal EVAMB 2021</t>
  </si>
  <si>
    <t>*</t>
  </si>
  <si>
    <t>Contracte Programa 2021</t>
  </si>
  <si>
    <t>Subvenció OHB 2021 (25%)</t>
  </si>
  <si>
    <t>Aportació OHB 2021 (12,5%) _ Incasòl</t>
  </si>
  <si>
    <t>Aportació OHB 2021 (12,5%) _ Agència Habitatge Catalunya</t>
  </si>
  <si>
    <t>Aportació OHB 2021 (25%)</t>
  </si>
  <si>
    <t>EVMC 2021</t>
  </si>
  <si>
    <t>Ajuntament de Granollers</t>
  </si>
  <si>
    <t>Pla Estratègic Granollers</t>
  </si>
  <si>
    <t>Transformació digital de l'Administració... - EAPC</t>
  </si>
  <si>
    <t>Subvenció línies de treball sobre vulnerabilitat urbana</t>
  </si>
  <si>
    <t>Pendent pressupost:</t>
  </si>
  <si>
    <t>OK</t>
  </si>
  <si>
    <t>Desviació positiva 2022</t>
  </si>
  <si>
    <t>OHB</t>
  </si>
  <si>
    <t>DECIDIM</t>
  </si>
  <si>
    <t>DIBA</t>
  </si>
  <si>
    <t>Confederació</t>
  </si>
  <si>
    <t>Obligacions reconegudes 31/12/2021</t>
  </si>
  <si>
    <t>DIBA - Vacarisses</t>
  </si>
  <si>
    <t>UAB - Xarxa LET</t>
  </si>
  <si>
    <t>Drets reconeguts 31/12/2021</t>
  </si>
  <si>
    <t>INCASOL - Colònia Güell</t>
  </si>
  <si>
    <t>AMB_ Cerdanyola Vallès</t>
  </si>
  <si>
    <t>Aj. BCN - Pla Acció OGP</t>
  </si>
  <si>
    <t>Ajuntament de l'Hospitalet de Llobregat</t>
  </si>
  <si>
    <t>RESULTAT PRESSUPOSTARI</t>
  </si>
  <si>
    <t>Concepte</t>
  </si>
  <si>
    <t xml:space="preserve">Drets  </t>
  </si>
  <si>
    <t>Obligacions</t>
  </si>
  <si>
    <t>Ajustos</t>
  </si>
  <si>
    <t xml:space="preserve">Resultat </t>
  </si>
  <si>
    <t>reconeguts</t>
  </si>
  <si>
    <t>reconegudes</t>
  </si>
  <si>
    <t>pressupostari</t>
  </si>
  <si>
    <t xml:space="preserve">     a) Operacions corrents</t>
  </si>
  <si>
    <t xml:space="preserve">     b) Altres operacions no financeres</t>
  </si>
  <si>
    <t>1. Total operacions no financeres (a+b)</t>
  </si>
  <si>
    <t>2. Actius financers</t>
  </si>
  <si>
    <t>3. Passius Financers</t>
  </si>
  <si>
    <t>RESULTAT PRESSUPOSTARI DE L'EXERCICI</t>
  </si>
  <si>
    <t>4. (+) Crèdits gastats finançats  amb romanent de tresoreria per a despeses generals</t>
  </si>
  <si>
    <t>5. (+) Desviacions de finançament negatives de l'exercici</t>
  </si>
  <si>
    <t>6. (-) Desviacions de finançament positives de l'exercici</t>
  </si>
  <si>
    <t>RESULTAT PRESSUPOSTARI AJUSTAT</t>
  </si>
  <si>
    <t>ROMANENT DE TRESORERIA</t>
  </si>
  <si>
    <t>Component</t>
  </si>
  <si>
    <t>Total</t>
  </si>
  <si>
    <t>1. (+) Fons líquids</t>
  </si>
  <si>
    <t>2. (+) Drets pendents de cobrament</t>
  </si>
  <si>
    <t xml:space="preserve">           '- (+) del pressupost corrent</t>
  </si>
  <si>
    <t xml:space="preserve">           '- (+) de pressupostos tancats</t>
  </si>
  <si>
    <t xml:space="preserve">           '- (+) d'operacions no pressupostàries</t>
  </si>
  <si>
    <t>3. (+) Obligacions pendents de pagament</t>
  </si>
  <si>
    <t>4.Partides pendents d'aplicació</t>
  </si>
  <si>
    <t xml:space="preserve">           '- (-) cobraments realitzats pendents d'aplicació definitiva</t>
  </si>
  <si>
    <t xml:space="preserve">           '- (+) pagaments realitzats pendents d'aplicació definitiva</t>
  </si>
  <si>
    <t>I. Romanent de tresoreria total (1+2-3)</t>
  </si>
  <si>
    <t>II. Saldos de dubtós cobrament</t>
  </si>
  <si>
    <t>III. Excés de finançament afectat</t>
  </si>
  <si>
    <t>IV. Romanent de tresoreria per a despeses generals (I-II-III)</t>
  </si>
  <si>
    <t>LIQUIDACIÓ PRESSUPOST IERMB 2021                                                                          31/12/2021</t>
  </si>
  <si>
    <t>Ing. Ant. 2022: 477.279,18 €   /      Prev. Ing. 2020: 13.082,73€</t>
  </si>
  <si>
    <t>Desp. Ant. 2022: 270.160,33 €   /  Ing.ant. 2021: 354.300,64 €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</si>
</sst>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;\-#,###,##0.00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2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0" fontId="1" fillId="0" borderId="0" xfId="0" applyFont="1" applyBorder="1"/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1" fillId="0" borderId="0" xfId="0" applyFont="1" applyFill="1" applyBorder="1"/>
    <xf numFmtId="4" fontId="15" fillId="0" borderId="2" xfId="0" applyNumberFormat="1" applyFont="1" applyFill="1" applyBorder="1" applyAlignment="1">
      <alignment horizontal="right"/>
    </xf>
    <xf numFmtId="0" fontId="21" fillId="0" borderId="0" xfId="0" applyFont="1" applyFill="1"/>
    <xf numFmtId="0" fontId="22" fillId="0" borderId="0" xfId="0" applyFont="1" applyFill="1"/>
    <xf numFmtId="4" fontId="5" fillId="0" borderId="2" xfId="0" applyNumberFormat="1" applyFont="1" applyBorder="1"/>
    <xf numFmtId="0" fontId="5" fillId="0" borderId="0" xfId="0" applyFont="1"/>
    <xf numFmtId="4" fontId="11" fillId="0" borderId="14" xfId="0" applyNumberFormat="1" applyFont="1" applyBorder="1"/>
    <xf numFmtId="4" fontId="11" fillId="0" borderId="14" xfId="0" applyNumberFormat="1" applyFont="1" applyFill="1" applyBorder="1" applyAlignment="1">
      <alignment horizontal="right"/>
    </xf>
    <xf numFmtId="4" fontId="11" fillId="0" borderId="20" xfId="0" applyNumberFormat="1" applyFont="1" applyFill="1" applyBorder="1" applyAlignment="1">
      <alignment horizontal="right"/>
    </xf>
    <xf numFmtId="4" fontId="11" fillId="0" borderId="19" xfId="0" applyNumberFormat="1" applyFont="1" applyFill="1" applyBorder="1" applyAlignment="1">
      <alignment horizontal="right"/>
    </xf>
    <xf numFmtId="0" fontId="0" fillId="0" borderId="10" xfId="0" applyFill="1" applyBorder="1"/>
    <xf numFmtId="4" fontId="5" fillId="0" borderId="0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2" fillId="0" borderId="21" xfId="0" applyFont="1" applyFill="1" applyBorder="1" applyAlignment="1">
      <alignment horizontal="left"/>
    </xf>
    <xf numFmtId="4" fontId="5" fillId="0" borderId="21" xfId="0" applyNumberFormat="1" applyFont="1" applyFill="1" applyBorder="1" applyAlignment="1">
      <alignment horizontal="right"/>
    </xf>
    <xf numFmtId="0" fontId="1" fillId="0" borderId="0" xfId="0" applyFont="1"/>
    <xf numFmtId="0" fontId="12" fillId="0" borderId="0" xfId="1"/>
    <xf numFmtId="0" fontId="1" fillId="0" borderId="6" xfId="0" applyFont="1" applyFill="1" applyBorder="1"/>
    <xf numFmtId="4" fontId="3" fillId="0" borderId="6" xfId="0" applyNumberFormat="1" applyFont="1" applyFill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4" fontId="5" fillId="4" borderId="2" xfId="0" applyNumberFormat="1" applyFont="1" applyFill="1" applyBorder="1" applyAlignment="1">
      <alignment horizontal="left"/>
    </xf>
    <xf numFmtId="0" fontId="25" fillId="0" borderId="0" xfId="0" applyFont="1" applyFill="1"/>
    <xf numFmtId="4" fontId="5" fillId="0" borderId="22" xfId="0" applyNumberFormat="1" applyFont="1" applyFill="1" applyBorder="1" applyAlignment="1">
      <alignment horizontal="right"/>
    </xf>
    <xf numFmtId="4" fontId="12" fillId="0" borderId="0" xfId="1" applyNumberFormat="1"/>
    <xf numFmtId="4" fontId="5" fillId="0" borderId="0" xfId="0" applyNumberFormat="1" applyFont="1"/>
    <xf numFmtId="0" fontId="26" fillId="0" borderId="23" xfId="0" applyFont="1" applyBorder="1"/>
    <xf numFmtId="0" fontId="26" fillId="0" borderId="24" xfId="0" applyFont="1" applyBorder="1"/>
    <xf numFmtId="0" fontId="27" fillId="0" borderId="24" xfId="0" applyFont="1" applyBorder="1"/>
    <xf numFmtId="0" fontId="27" fillId="0" borderId="25" xfId="0" applyFont="1" applyBorder="1" applyAlignment="1">
      <alignment horizontal="right"/>
    </xf>
    <xf numFmtId="4" fontId="27" fillId="0" borderId="0" xfId="0" applyNumberFormat="1" applyFont="1" applyAlignment="1">
      <alignment horizontal="right"/>
    </xf>
    <xf numFmtId="0" fontId="27" fillId="0" borderId="0" xfId="0" applyFont="1"/>
    <xf numFmtId="0" fontId="20" fillId="0" borderId="26" xfId="0" applyFont="1" applyBorder="1"/>
    <xf numFmtId="0" fontId="20" fillId="0" borderId="0" xfId="0" applyFont="1"/>
    <xf numFmtId="0" fontId="0" fillId="0" borderId="27" xfId="0" applyBorder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0" fontId="20" fillId="0" borderId="27" xfId="0" applyFont="1" applyBorder="1" applyAlignment="1">
      <alignment horizontal="right"/>
    </xf>
    <xf numFmtId="0" fontId="0" fillId="0" borderId="26" xfId="0" applyBorder="1"/>
    <xf numFmtId="4" fontId="0" fillId="0" borderId="27" xfId="0" applyNumberFormat="1" applyBorder="1" applyAlignment="1">
      <alignment horizontal="right"/>
    </xf>
    <xf numFmtId="4" fontId="0" fillId="0" borderId="28" xfId="0" applyNumberFormat="1" applyBorder="1"/>
    <xf numFmtId="4" fontId="0" fillId="0" borderId="29" xfId="0" applyNumberFormat="1" applyBorder="1" applyAlignment="1">
      <alignment horizontal="right"/>
    </xf>
    <xf numFmtId="0" fontId="28" fillId="0" borderId="26" xfId="0" applyFont="1" applyBorder="1"/>
    <xf numFmtId="0" fontId="28" fillId="0" borderId="0" xfId="0" applyFont="1"/>
    <xf numFmtId="0" fontId="0" fillId="0" borderId="26" xfId="0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27" xfId="0" applyNumberFormat="1" applyBorder="1" applyAlignment="1">
      <alignment horizontal="right" vertical="center"/>
    </xf>
    <xf numFmtId="4" fontId="5" fillId="0" borderId="0" xfId="0" applyNumberFormat="1" applyFont="1" applyAlignment="1">
      <alignment horizontal="right"/>
    </xf>
    <xf numFmtId="0" fontId="7" fillId="0" borderId="30" xfId="0" applyFont="1" applyBorder="1"/>
    <xf numFmtId="0" fontId="7" fillId="0" borderId="31" xfId="0" applyFont="1" applyBorder="1"/>
    <xf numFmtId="4" fontId="7" fillId="0" borderId="31" xfId="0" applyNumberFormat="1" applyFont="1" applyBorder="1"/>
    <xf numFmtId="4" fontId="7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6" fillId="0" borderId="26" xfId="0" applyFont="1" applyBorder="1"/>
    <xf numFmtId="0" fontId="0" fillId="0" borderId="27" xfId="0" applyBorder="1"/>
    <xf numFmtId="4" fontId="20" fillId="0" borderId="0" xfId="0" applyNumberFormat="1" applyFont="1" applyAlignment="1">
      <alignment horizontal="right"/>
    </xf>
    <xf numFmtId="4" fontId="29" fillId="0" borderId="27" xfId="0" applyNumberFormat="1" applyFont="1" applyBorder="1" applyAlignment="1">
      <alignment horizontal="right"/>
    </xf>
    <xf numFmtId="4" fontId="0" fillId="0" borderId="27" xfId="0" applyNumberFormat="1" applyBorder="1"/>
    <xf numFmtId="0" fontId="0" fillId="0" borderId="32" xfId="0" applyBorder="1"/>
    <xf numFmtId="0" fontId="0" fillId="0" borderId="33" xfId="0" applyBorder="1"/>
    <xf numFmtId="4" fontId="0" fillId="0" borderId="33" xfId="0" applyNumberFormat="1" applyBorder="1"/>
    <xf numFmtId="4" fontId="0" fillId="0" borderId="34" xfId="0" applyNumberFormat="1" applyBorder="1"/>
    <xf numFmtId="0" fontId="0" fillId="0" borderId="35" xfId="0" applyBorder="1"/>
    <xf numFmtId="0" fontId="0" fillId="0" borderId="28" xfId="0" applyBorder="1"/>
    <xf numFmtId="4" fontId="7" fillId="0" borderId="36" xfId="0" applyNumberFormat="1" applyFont="1" applyBorder="1"/>
    <xf numFmtId="4" fontId="5" fillId="0" borderId="0" xfId="0" applyNumberFormat="1" applyFont="1" applyAlignment="1">
      <alignment horizontal="left"/>
    </xf>
    <xf numFmtId="4" fontId="5" fillId="0" borderId="29" xfId="0" applyNumberFormat="1" applyFont="1" applyBorder="1"/>
    <xf numFmtId="0" fontId="7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648481</xdr:colOff>
      <xdr:row>0</xdr:row>
      <xdr:rowOff>0</xdr:rowOff>
    </xdr:from>
    <xdr:to>
      <xdr:col>9</xdr:col>
      <xdr:colOff>1192282</xdr:colOff>
      <xdr:row>3</xdr:row>
      <xdr:rowOff>172686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705" y="0"/>
          <a:ext cx="1646394" cy="8076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 Romero Valle" id="{A84824BC-0A19-40F5-9BD4-9B39B7491AEE}" userId="Ana Romero Valle" providerId="None"/>
  <person displayName="Juan Carlos Migoya Martínez" id="{5034BA67-DAA0-41CA-8D9D-99E7DEE24706}" userId="S::0000629@uab.cat::571e78bb-bbac-4d6c-acb2-f2904afccb1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5" dT="2021-12-08T10:15:57.36" personId="{5034BA67-DAA0-41CA-8D9D-99E7DEE24706}" id="{EBFCF768-CB56-4F47-9409-577EF9AC7C8E}">
    <text>CP = 326.000€; restants 27.849,97€???</text>
  </threadedComment>
  <threadedComment ref="I27" dT="2021-12-08T10:58:07.51" personId="{5034BA67-DAA0-41CA-8D9D-99E7DEE24706}" id="{B048008B-B2FE-475F-A5AC-388C70443FB5}">
    <text>Què inclou? DFN 2020???</text>
  </threadedComment>
  <threadedComment ref="I27" dT="2021-12-10T12:54:20.52" personId="{A84824BC-0A19-40F5-9BD4-9B39B7491AEE}" id="{68D5A2AA-662A-4183-AF32-CF0F5C0809D6}" parentId="{B048008B-B2FE-475F-A5AC-388C70443FB5}">
    <text>23500 € IIAB
3500 € IERMB
9700 € IERMB</text>
  </threadedComment>
  <threadedComment ref="B28" dT="2021-12-08T12:16:45.44" personId="{5034BA67-DAA0-41CA-8D9D-99E7DEE24706}" id="{E0B74056-576F-457D-AA8D-FBAB7367E19C}">
    <text>Revisar partida pressupostària</text>
  </threadedComment>
  <threadedComment ref="B30" dT="2021-12-08T12:16:45.44" personId="{5034BA67-DAA0-41CA-8D9D-99E7DEE24706}" id="{EBC55FD4-E210-4684-B38B-7442F494D39A}">
    <text>Revisar partida pressupostària</text>
  </threadedComment>
  <threadedComment ref="I35" dT="2021-12-08T09:49:07.35" personId="{5034BA67-DAA0-41CA-8D9D-99E7DEE24706}" id="{48B201A7-B39C-4AFA-B198-6F4DAA0125A2}">
    <text>DFN 2020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80"/>
  <sheetViews>
    <sheetView showGridLines="0" tabSelected="1" zoomScale="96" zoomScaleNormal="96" zoomScalePageLayoutView="85" workbookViewId="0">
      <selection activeCell="O18" sqref="O18"/>
    </sheetView>
  </sheetViews>
  <sheetFormatPr baseColWidth="10" defaultRowHeight="15" x14ac:dyDescent="0.25"/>
  <cols>
    <col min="1" max="1" width="7" customWidth="1"/>
    <col min="2" max="2" width="10.7109375" style="2" customWidth="1"/>
    <col min="3" max="3" width="32.7109375" customWidth="1"/>
    <col min="4" max="4" width="18.7109375" customWidth="1"/>
    <col min="5" max="5" width="19" customWidth="1"/>
    <col min="6" max="6" width="20.42578125" customWidth="1"/>
    <col min="7" max="7" width="16.7109375" customWidth="1"/>
    <col min="8" max="8" width="17.42578125" customWidth="1"/>
    <col min="9" max="9" width="15.42578125" customWidth="1"/>
    <col min="10" max="10" width="19.7109375" customWidth="1"/>
    <col min="11" max="11" width="6.28515625" customWidth="1"/>
    <col min="12" max="12" width="15.42578125" customWidth="1"/>
  </cols>
  <sheetData>
    <row r="1" spans="2:10" ht="15.75" thickBot="1" x14ac:dyDescent="0.3"/>
    <row r="2" spans="2:10" ht="19.5" thickBot="1" x14ac:dyDescent="0.35">
      <c r="B2" s="216" t="s">
        <v>236</v>
      </c>
      <c r="C2" s="217"/>
      <c r="D2" s="217"/>
      <c r="E2" s="217"/>
      <c r="F2" s="218"/>
    </row>
    <row r="4" spans="2:10" ht="18.75" x14ac:dyDescent="0.3">
      <c r="B4" s="26" t="s">
        <v>44</v>
      </c>
    </row>
    <row r="5" spans="2:10" ht="15.75" thickBot="1" x14ac:dyDescent="0.3"/>
    <row r="6" spans="2:10" s="28" customFormat="1" ht="54.75" customHeight="1" thickBot="1" x14ac:dyDescent="0.3">
      <c r="B6" s="27" t="s">
        <v>47</v>
      </c>
      <c r="C6" s="98" t="s">
        <v>85</v>
      </c>
      <c r="D6" s="97" t="s">
        <v>82</v>
      </c>
      <c r="E6" s="97" t="s">
        <v>126</v>
      </c>
      <c r="F6" s="97" t="s">
        <v>127</v>
      </c>
      <c r="G6" s="117" t="s">
        <v>196</v>
      </c>
      <c r="H6" s="118" t="s">
        <v>128</v>
      </c>
      <c r="I6" s="119" t="s">
        <v>129</v>
      </c>
      <c r="J6" s="120" t="s">
        <v>130</v>
      </c>
    </row>
    <row r="7" spans="2:10" x14ac:dyDescent="0.25">
      <c r="B7" s="29"/>
      <c r="C7" s="30"/>
      <c r="D7" s="31"/>
      <c r="E7" s="31"/>
      <c r="F7" s="31"/>
      <c r="G7" s="63"/>
      <c r="H7" s="2"/>
      <c r="I7" s="121"/>
      <c r="J7" s="121"/>
    </row>
    <row r="8" spans="2:10" s="24" customFormat="1" x14ac:dyDescent="0.25">
      <c r="B8" s="32">
        <v>3</v>
      </c>
      <c r="C8" s="33" t="s">
        <v>86</v>
      </c>
      <c r="D8" s="96">
        <f>'Cap. 3 Ing. vendes'!F3</f>
        <v>1736411.89</v>
      </c>
      <c r="E8" s="96">
        <f>'Cap. 3 Ing. vendes'!G3</f>
        <v>332354.02</v>
      </c>
      <c r="F8" s="96">
        <f>'Cap. 3 Ing. vendes'!H3</f>
        <v>2068765.91</v>
      </c>
      <c r="G8" s="96">
        <f>'Cap. 3 Ing. vendes'!I3</f>
        <v>713777.56</v>
      </c>
      <c r="H8" s="96">
        <f>'Cap. 3 Ing. vendes'!J3</f>
        <v>69167.679999999993</v>
      </c>
      <c r="I8" s="96">
        <f>'Cap. 3 Ing. vendes'!K3</f>
        <v>644609.88</v>
      </c>
      <c r="J8" s="96">
        <f>'Cap. 3 Ing. vendes'!L3</f>
        <v>-1354988.3499999999</v>
      </c>
    </row>
    <row r="9" spans="2:10" s="24" customFormat="1" x14ac:dyDescent="0.25">
      <c r="B9" s="32">
        <v>4</v>
      </c>
      <c r="C9" s="33" t="s">
        <v>55</v>
      </c>
      <c r="D9" s="96">
        <f>'Cap. 4 Ing. Transf.corrents'!F3</f>
        <v>1688393</v>
      </c>
      <c r="E9" s="96">
        <f>'Cap. 4 Ing. Transf.corrents'!G3</f>
        <v>460907.56</v>
      </c>
      <c r="F9" s="96">
        <f>'Cap. 4 Ing. Transf.corrents'!H3</f>
        <v>2149300.56</v>
      </c>
      <c r="G9" s="96">
        <f>'Cap. 4 Ing. Transf.corrents'!I3</f>
        <v>3232138.7600000002</v>
      </c>
      <c r="H9" s="96">
        <f>'Cap. 4 Ing. Transf.corrents'!J3</f>
        <v>123522.36</v>
      </c>
      <c r="I9" s="96">
        <f>'Cap. 4 Ing. Transf.corrents'!K3</f>
        <v>3108616.4000000004</v>
      </c>
      <c r="J9" s="96">
        <f>'Cap. 4 Ing. Transf.corrents'!L3</f>
        <v>1082838.2</v>
      </c>
    </row>
    <row r="10" spans="2:10" s="24" customFormat="1" x14ac:dyDescent="0.25">
      <c r="B10" s="32">
        <v>5</v>
      </c>
      <c r="C10" s="35" t="s">
        <v>56</v>
      </c>
      <c r="D10" s="34">
        <f>'Cap. 5 i 8 Ing. pat'!F3</f>
        <v>30</v>
      </c>
      <c r="E10" s="34">
        <f>'Cap. 5 i 8 Ing. pat'!G3</f>
        <v>0</v>
      </c>
      <c r="F10" s="34">
        <f>'Cap. 5 i 8 Ing. pat'!H3</f>
        <v>30</v>
      </c>
      <c r="G10" s="34">
        <f>'Cap. 5 i 8 Ing. pat'!I3</f>
        <v>0</v>
      </c>
      <c r="H10" s="34">
        <f>'Cap. 5 i 8 Ing. pat'!J3</f>
        <v>0</v>
      </c>
      <c r="I10" s="34">
        <f>'Cap. 5 i 8 Ing. pat'!K3</f>
        <v>0</v>
      </c>
      <c r="J10" s="34">
        <f>'Cap. 5 i 8 Ing. pat'!L3</f>
        <v>-30</v>
      </c>
    </row>
    <row r="11" spans="2:10" x14ac:dyDescent="0.25">
      <c r="B11" s="32">
        <v>8</v>
      </c>
      <c r="C11" s="35" t="s">
        <v>133</v>
      </c>
      <c r="D11" s="34">
        <f>'Cap. 5 i 8 Ing. pat'!F14</f>
        <v>0</v>
      </c>
      <c r="E11" s="34">
        <f>'Cap. 5 i 8 Ing. pat'!G14</f>
        <v>394362.2</v>
      </c>
      <c r="F11" s="34">
        <f>'Cap. 5 i 8 Ing. pat'!H14</f>
        <v>394362.2</v>
      </c>
      <c r="G11" s="34">
        <f>'Cap. 5 i 8 Ing. pat'!I14</f>
        <v>0</v>
      </c>
      <c r="H11" s="34">
        <f>'Cap. 5 i 8 Ing. pat'!J14</f>
        <v>0</v>
      </c>
      <c r="I11" s="34">
        <f>'Cap. 5 i 8 Ing. pat'!K14</f>
        <v>0</v>
      </c>
      <c r="J11" s="34">
        <f>'Cap. 5 i 8 Ing. pat'!L14</f>
        <v>-394362.2</v>
      </c>
    </row>
    <row r="12" spans="2:10" x14ac:dyDescent="0.25">
      <c r="C12" s="1"/>
      <c r="E12" s="122"/>
      <c r="F12" s="122"/>
      <c r="G12" s="122"/>
      <c r="H12" s="122"/>
      <c r="I12" s="122"/>
      <c r="J12" s="122"/>
    </row>
    <row r="13" spans="2:10" s="39" customFormat="1" ht="18.75" x14ac:dyDescent="0.3">
      <c r="B13" s="36" t="s">
        <v>57</v>
      </c>
      <c r="C13" s="37"/>
      <c r="D13" s="38">
        <f>SUM(D8:D11)</f>
        <v>3424834.8899999997</v>
      </c>
      <c r="E13" s="38">
        <f t="shared" ref="E13:J13" si="0">SUM(E8:E11)</f>
        <v>1187623.78</v>
      </c>
      <c r="F13" s="38">
        <f>SUM(F8:F11)</f>
        <v>4612458.67</v>
      </c>
      <c r="G13" s="38">
        <f t="shared" si="0"/>
        <v>3945916.3200000003</v>
      </c>
      <c r="H13" s="38">
        <f t="shared" si="0"/>
        <v>192690.03999999998</v>
      </c>
      <c r="I13" s="38">
        <f t="shared" si="0"/>
        <v>3753226.2800000003</v>
      </c>
      <c r="J13" s="38">
        <f t="shared" si="0"/>
        <v>-666542.34999999986</v>
      </c>
    </row>
    <row r="14" spans="2:10" x14ac:dyDescent="0.25">
      <c r="B14" s="40"/>
    </row>
    <row r="15" spans="2:10" x14ac:dyDescent="0.25">
      <c r="B15" s="40"/>
    </row>
    <row r="16" spans="2:10" ht="18.75" x14ac:dyDescent="0.3">
      <c r="B16" s="26" t="s">
        <v>125</v>
      </c>
      <c r="J16" s="25"/>
    </row>
    <row r="17" spans="2:10" ht="15.75" thickBot="1" x14ac:dyDescent="0.3"/>
    <row r="18" spans="2:10" s="28" customFormat="1" ht="51.75" customHeight="1" thickBot="1" x14ac:dyDescent="0.3">
      <c r="B18" s="27" t="s">
        <v>47</v>
      </c>
      <c r="C18" s="98" t="s">
        <v>85</v>
      </c>
      <c r="D18" s="97" t="s">
        <v>82</v>
      </c>
      <c r="E18" s="97" t="s">
        <v>126</v>
      </c>
      <c r="F18" s="97" t="s">
        <v>127</v>
      </c>
      <c r="G18" s="117" t="s">
        <v>193</v>
      </c>
      <c r="H18" s="118" t="s">
        <v>131</v>
      </c>
      <c r="I18" s="119" t="s">
        <v>132</v>
      </c>
      <c r="J18" s="120" t="s">
        <v>130</v>
      </c>
    </row>
    <row r="19" spans="2:10" x14ac:dyDescent="0.25">
      <c r="B19" s="29"/>
      <c r="C19" s="30"/>
      <c r="D19" s="41"/>
      <c r="E19" s="41"/>
      <c r="F19" s="41"/>
    </row>
    <row r="20" spans="2:10" s="24" customFormat="1" x14ac:dyDescent="0.25">
      <c r="B20" s="32">
        <v>1</v>
      </c>
      <c r="C20" s="33" t="s">
        <v>87</v>
      </c>
      <c r="D20" s="99">
        <f>'Cap. 1 Desp. Personal'!F3</f>
        <v>2558281.83</v>
      </c>
      <c r="E20" s="99">
        <f>'Cap. 1 Desp. Personal'!G3</f>
        <v>687622.43</v>
      </c>
      <c r="F20" s="99">
        <f>'Cap. 1 Desp. Personal'!H3</f>
        <v>3245904.2600000002</v>
      </c>
      <c r="G20" s="99">
        <f>'Cap. 1 Desp. Personal'!I3</f>
        <v>2910834.89</v>
      </c>
      <c r="H20" s="99">
        <f>'Cap. 1 Desp. Personal'!J3</f>
        <v>0</v>
      </c>
      <c r="I20" s="99">
        <f>'Cap. 1 Desp. Personal'!K3</f>
        <v>2910834.89</v>
      </c>
      <c r="J20" s="99">
        <f>'Cap. 1 Desp. Personal'!L3</f>
        <v>335069.37000000011</v>
      </c>
    </row>
    <row r="21" spans="2:10" s="24" customFormat="1" x14ac:dyDescent="0.25">
      <c r="B21" s="32">
        <v>2</v>
      </c>
      <c r="C21" s="33" t="s">
        <v>58</v>
      </c>
      <c r="D21" s="99">
        <f>'Cap. 2 Desp.Corrents'!F3</f>
        <v>854123.05999999994</v>
      </c>
      <c r="E21" s="99">
        <f>'Cap. 2 Desp.Corrents'!G3</f>
        <v>429513.2</v>
      </c>
      <c r="F21" s="99">
        <f>'Cap. 2 Desp.Corrents'!H3</f>
        <v>1283636.26</v>
      </c>
      <c r="G21" s="99">
        <f>'Cap. 2 Desp.Corrents'!I3</f>
        <v>1067259.71</v>
      </c>
      <c r="H21" s="99">
        <f>'Cap. 2 Desp.Corrents'!J3</f>
        <v>338895.35</v>
      </c>
      <c r="I21" s="99">
        <f>'Cap. 2 Desp.Corrents'!K3</f>
        <v>728364.36</v>
      </c>
      <c r="J21" s="99">
        <f>'Cap. 2 Desp.Corrents'!L3</f>
        <v>216376.55000000005</v>
      </c>
    </row>
    <row r="22" spans="2:10" s="24" customFormat="1" x14ac:dyDescent="0.25">
      <c r="B22" s="32">
        <v>3</v>
      </c>
      <c r="C22" s="33" t="s">
        <v>59</v>
      </c>
      <c r="D22" s="99">
        <f>'Cap. 3-4-6 Df, Tc, Inv'!F3</f>
        <v>430</v>
      </c>
      <c r="E22" s="99">
        <f>'Cap. 3-4-6 Df, Tc, Inv'!G3</f>
        <v>1250</v>
      </c>
      <c r="F22" s="99">
        <f>'Cap. 3-4-6 Df, Tc, Inv'!H3</f>
        <v>1680</v>
      </c>
      <c r="G22" s="99">
        <f>'Cap. 3-4-6 Df, Tc, Inv'!I3</f>
        <v>1210.3499999999999</v>
      </c>
      <c r="H22" s="99">
        <f>'Cap. 3-4-6 Df, Tc, Inv'!J3</f>
        <v>0</v>
      </c>
      <c r="I22" s="99">
        <f>'Cap. 3-4-6 Df, Tc, Inv'!K3</f>
        <v>1210.3499999999999</v>
      </c>
      <c r="J22" s="99">
        <f>'Cap. 3-4-6 Df, Tc, Inv'!L3</f>
        <v>469.65000000000009</v>
      </c>
    </row>
    <row r="23" spans="2:10" s="24" customFormat="1" x14ac:dyDescent="0.25">
      <c r="B23" s="32">
        <v>4</v>
      </c>
      <c r="C23" s="33" t="s">
        <v>134</v>
      </c>
      <c r="D23" s="99">
        <f>'Cap. 3-4-6 Df, Tc, Inv'!F13</f>
        <v>0</v>
      </c>
      <c r="E23" s="99">
        <f>'Cap. 3-4-6 Df, Tc, Inv'!G13</f>
        <v>58485</v>
      </c>
      <c r="F23" s="99">
        <f>'Cap. 3-4-6 Df, Tc, Inv'!H13</f>
        <v>58485</v>
      </c>
      <c r="G23" s="99">
        <f>'Cap. 3-4-6 Df, Tc, Inv'!I13</f>
        <v>58485</v>
      </c>
      <c r="H23" s="99">
        <f>'Cap. 3-4-6 Df, Tc, Inv'!J13</f>
        <v>0</v>
      </c>
      <c r="I23" s="99">
        <f>'Cap. 3-4-6 Df, Tc, Inv'!K13</f>
        <v>58485</v>
      </c>
      <c r="J23" s="99">
        <f>'Cap. 3-4-6 Df, Tc, Inv'!L13</f>
        <v>0</v>
      </c>
    </row>
    <row r="24" spans="2:10" s="24" customFormat="1" x14ac:dyDescent="0.25">
      <c r="B24" s="32">
        <v>6</v>
      </c>
      <c r="C24" s="35" t="s">
        <v>60</v>
      </c>
      <c r="D24" s="99">
        <f>'Cap. 3-4-6 Df, Tc, Inv'!F24</f>
        <v>12000</v>
      </c>
      <c r="E24" s="99">
        <f>'Cap. 3-4-6 Df, Tc, Inv'!G24</f>
        <v>10753.15</v>
      </c>
      <c r="F24" s="99">
        <f>'Cap. 3-4-6 Df, Tc, Inv'!H24</f>
        <v>22753.15</v>
      </c>
      <c r="G24" s="99">
        <f>'Cap. 3-4-6 Df, Tc, Inv'!I24</f>
        <v>22221.02</v>
      </c>
      <c r="H24" s="99">
        <f>'Cap. 3-4-6 Df, Tc, Inv'!J24</f>
        <v>3213.9700000000012</v>
      </c>
      <c r="I24" s="99">
        <f>'Cap. 3-4-6 Df, Tc, Inv'!K24</f>
        <v>19007.05</v>
      </c>
      <c r="J24" s="99">
        <f>'Cap. 3-4-6 Df, Tc, Inv'!L24</f>
        <v>532.13000000000193</v>
      </c>
    </row>
    <row r="26" spans="2:10" s="39" customFormat="1" ht="18.75" x14ac:dyDescent="0.3">
      <c r="B26" s="36" t="s">
        <v>61</v>
      </c>
      <c r="C26" s="37"/>
      <c r="D26" s="38">
        <f t="shared" ref="D26:J26" si="1">SUM(D20:D25)</f>
        <v>3424834.89</v>
      </c>
      <c r="E26" s="38">
        <f t="shared" si="1"/>
        <v>1187623.78</v>
      </c>
      <c r="F26" s="38">
        <f t="shared" si="1"/>
        <v>4612458.6700000009</v>
      </c>
      <c r="G26" s="38">
        <f t="shared" si="1"/>
        <v>4060010.97</v>
      </c>
      <c r="H26" s="38">
        <f t="shared" si="1"/>
        <v>342109.31999999995</v>
      </c>
      <c r="I26" s="38">
        <f t="shared" si="1"/>
        <v>3717901.65</v>
      </c>
      <c r="J26" s="38">
        <f t="shared" si="1"/>
        <v>552447.70000000019</v>
      </c>
    </row>
    <row r="28" spans="2:10" x14ac:dyDescent="0.25">
      <c r="D28" s="112"/>
    </row>
    <row r="29" spans="2:10" x14ac:dyDescent="0.25">
      <c r="C29" s="30" t="s">
        <v>135</v>
      </c>
      <c r="E29" s="25">
        <f>E13-E26</f>
        <v>0</v>
      </c>
      <c r="F29" s="25">
        <f>F13-F26</f>
        <v>0</v>
      </c>
      <c r="G29" s="25">
        <f t="shared" ref="G29:I29" si="2">G13-G26</f>
        <v>-114094.64999999991</v>
      </c>
      <c r="H29" s="25">
        <f t="shared" si="2"/>
        <v>-149419.27999999997</v>
      </c>
      <c r="I29" s="25">
        <f t="shared" si="2"/>
        <v>35324.630000000354</v>
      </c>
      <c r="J29" s="25">
        <f>J13+J26</f>
        <v>-114094.64999999967</v>
      </c>
    </row>
    <row r="30" spans="2:10" x14ac:dyDescent="0.25">
      <c r="D30" s="25"/>
    </row>
    <row r="31" spans="2:10" x14ac:dyDescent="0.25">
      <c r="D31" s="25"/>
    </row>
    <row r="32" spans="2:10" x14ac:dyDescent="0.25">
      <c r="D32" s="25"/>
      <c r="G32" s="25"/>
    </row>
    <row r="33" spans="2:10" x14ac:dyDescent="0.25">
      <c r="D33" s="25"/>
    </row>
    <row r="34" spans="2:10" x14ac:dyDescent="0.25">
      <c r="D34" s="25"/>
    </row>
    <row r="36" spans="2:10" ht="15.75" thickBot="1" x14ac:dyDescent="0.3"/>
    <row r="37" spans="2:10" s="174" customFormat="1" ht="18.75" x14ac:dyDescent="0.3">
      <c r="B37" s="169" t="s">
        <v>201</v>
      </c>
      <c r="C37" s="170"/>
      <c r="D37" s="171"/>
      <c r="E37" s="171"/>
      <c r="F37" s="171"/>
      <c r="G37" s="171"/>
      <c r="H37" s="171"/>
      <c r="I37" s="172"/>
      <c r="J37" s="173"/>
    </row>
    <row r="38" spans="2:10" ht="3.75" customHeight="1" x14ac:dyDescent="0.25">
      <c r="B38" s="175"/>
      <c r="C38" s="176"/>
      <c r="I38" s="177"/>
      <c r="J38" s="178"/>
    </row>
    <row r="39" spans="2:10" x14ac:dyDescent="0.25">
      <c r="B39" s="175" t="s">
        <v>202</v>
      </c>
      <c r="C39" s="176"/>
      <c r="F39" s="179" t="s">
        <v>203</v>
      </c>
      <c r="G39" s="179" t="s">
        <v>204</v>
      </c>
      <c r="H39" s="179" t="s">
        <v>205</v>
      </c>
      <c r="I39" s="180" t="s">
        <v>206</v>
      </c>
      <c r="J39" s="178"/>
    </row>
    <row r="40" spans="2:10" ht="15" customHeight="1" x14ac:dyDescent="0.25">
      <c r="B40" s="181"/>
      <c r="F40" s="179" t="s">
        <v>207</v>
      </c>
      <c r="G40" s="179" t="s">
        <v>208</v>
      </c>
      <c r="H40" s="179"/>
      <c r="I40" s="180" t="s">
        <v>209</v>
      </c>
      <c r="J40" s="178"/>
    </row>
    <row r="41" spans="2:10" ht="9" customHeight="1" x14ac:dyDescent="0.25">
      <c r="B41" s="181"/>
      <c r="F41" s="179"/>
      <c r="G41" s="179"/>
      <c r="H41" s="179"/>
      <c r="I41" s="180"/>
      <c r="J41" s="178"/>
    </row>
    <row r="42" spans="2:10" x14ac:dyDescent="0.25">
      <c r="B42" s="181" t="s">
        <v>210</v>
      </c>
      <c r="F42" s="25">
        <f>G8+G9</f>
        <v>3945916.3200000003</v>
      </c>
      <c r="G42" s="25">
        <f>G20+G21+G23+G24</f>
        <v>4058800.62</v>
      </c>
      <c r="H42" s="25"/>
      <c r="I42" s="182">
        <f>F42-G42</f>
        <v>-112884.29999999981</v>
      </c>
      <c r="J42" s="178"/>
    </row>
    <row r="43" spans="2:10" x14ac:dyDescent="0.25">
      <c r="B43" s="181" t="s">
        <v>211</v>
      </c>
      <c r="F43" s="25">
        <v>0</v>
      </c>
      <c r="G43" s="25">
        <f>G22</f>
        <v>1210.3499999999999</v>
      </c>
      <c r="H43" s="25"/>
      <c r="I43" s="182">
        <f>F43-G43</f>
        <v>-1210.3499999999999</v>
      </c>
      <c r="J43" s="178"/>
    </row>
    <row r="44" spans="2:10" x14ac:dyDescent="0.25">
      <c r="B44" s="181" t="s">
        <v>212</v>
      </c>
      <c r="F44" s="25">
        <f>SUM(F42:F43)</f>
        <v>3945916.3200000003</v>
      </c>
      <c r="G44" s="25">
        <f>SUM(G42:G43)</f>
        <v>4060010.97</v>
      </c>
      <c r="H44" s="25"/>
      <c r="I44" s="182">
        <f>F44-G44</f>
        <v>-114094.64999999991</v>
      </c>
      <c r="J44" s="178"/>
    </row>
    <row r="45" spans="2:10" x14ac:dyDescent="0.25">
      <c r="B45" s="181" t="s">
        <v>213</v>
      </c>
      <c r="F45" s="25">
        <f>I67</f>
        <v>0</v>
      </c>
      <c r="G45" s="25">
        <v>0</v>
      </c>
      <c r="H45" s="25"/>
      <c r="I45" s="182">
        <f>F45-G45</f>
        <v>0</v>
      </c>
      <c r="J45" s="178"/>
    </row>
    <row r="46" spans="2:10" x14ac:dyDescent="0.25">
      <c r="B46" s="181" t="s">
        <v>214</v>
      </c>
      <c r="F46" s="25">
        <v>0</v>
      </c>
      <c r="G46" s="25">
        <v>0</v>
      </c>
      <c r="H46" s="25"/>
      <c r="I46" s="182">
        <f>F46-G46</f>
        <v>0</v>
      </c>
      <c r="J46" s="178"/>
    </row>
    <row r="47" spans="2:10" ht="10.5" customHeight="1" x14ac:dyDescent="0.25">
      <c r="B47" s="181"/>
      <c r="F47" s="183"/>
      <c r="G47" s="183"/>
      <c r="H47" s="25"/>
      <c r="I47" s="184"/>
      <c r="J47" s="178"/>
    </row>
    <row r="48" spans="2:10" x14ac:dyDescent="0.25">
      <c r="B48" s="181" t="s">
        <v>215</v>
      </c>
      <c r="F48" s="25">
        <f>SUM(F44:F46)</f>
        <v>3945916.3200000003</v>
      </c>
      <c r="G48" s="25">
        <f>SUM(G44:G46)</f>
        <v>4060010.97</v>
      </c>
      <c r="H48" s="25"/>
      <c r="I48" s="182">
        <f>F48-G48</f>
        <v>-114094.64999999991</v>
      </c>
      <c r="J48" s="178"/>
    </row>
    <row r="49" spans="2:12" ht="9.75" customHeight="1" x14ac:dyDescent="0.25">
      <c r="B49" s="181"/>
      <c r="F49" s="25"/>
      <c r="G49" s="25"/>
      <c r="H49" s="25"/>
      <c r="I49" s="182"/>
      <c r="J49" s="178"/>
    </row>
    <row r="50" spans="2:12" x14ac:dyDescent="0.25">
      <c r="B50" s="185" t="s">
        <v>205</v>
      </c>
      <c r="C50" s="186"/>
      <c r="F50" s="25"/>
      <c r="G50" s="25"/>
      <c r="H50" s="25"/>
      <c r="I50" s="182"/>
      <c r="J50" s="178"/>
      <c r="L50" s="25"/>
    </row>
    <row r="51" spans="2:12" x14ac:dyDescent="0.25">
      <c r="B51" s="187" t="s">
        <v>216</v>
      </c>
      <c r="C51" s="188"/>
      <c r="D51" s="188"/>
      <c r="E51" s="188"/>
      <c r="F51" s="189"/>
      <c r="G51" s="189"/>
      <c r="H51" s="190">
        <v>40061.56</v>
      </c>
      <c r="I51" s="191"/>
      <c r="J51" s="192"/>
    </row>
    <row r="52" spans="2:12" ht="25.15" customHeight="1" x14ac:dyDescent="0.25">
      <c r="B52" s="187" t="s">
        <v>217</v>
      </c>
      <c r="C52" s="188"/>
      <c r="D52" s="188"/>
      <c r="E52" s="188"/>
      <c r="F52" s="189"/>
      <c r="G52" s="189"/>
      <c r="H52" s="190">
        <f>354300.64+270160.33</f>
        <v>624460.97</v>
      </c>
      <c r="I52" s="191"/>
      <c r="J52" s="219" t="s">
        <v>238</v>
      </c>
      <c r="K52" s="220"/>
    </row>
    <row r="53" spans="2:12" ht="26.25" customHeight="1" x14ac:dyDescent="0.25">
      <c r="B53" s="187" t="s">
        <v>218</v>
      </c>
      <c r="C53" s="188"/>
      <c r="D53" s="188"/>
      <c r="E53" s="188"/>
      <c r="F53" s="189"/>
      <c r="G53" s="189"/>
      <c r="H53" s="190">
        <f>477279.18+13082.73</f>
        <v>490361.91</v>
      </c>
      <c r="I53" s="191">
        <f>H51+H52-H53</f>
        <v>174160.62000000005</v>
      </c>
      <c r="J53" s="221" t="s">
        <v>237</v>
      </c>
      <c r="K53" s="222"/>
    </row>
    <row r="54" spans="2:12" ht="4.5" customHeight="1" thickBot="1" x14ac:dyDescent="0.3">
      <c r="B54" s="181"/>
      <c r="F54" s="25"/>
      <c r="G54" s="25"/>
      <c r="H54" s="25"/>
      <c r="I54" s="182"/>
      <c r="J54" s="178"/>
    </row>
    <row r="55" spans="2:12" s="198" customFormat="1" ht="19.5" thickBot="1" x14ac:dyDescent="0.35">
      <c r="B55" s="193" t="s">
        <v>219</v>
      </c>
      <c r="C55" s="194"/>
      <c r="D55" s="194"/>
      <c r="E55" s="194"/>
      <c r="F55" s="195"/>
      <c r="G55" s="195"/>
      <c r="H55" s="195"/>
      <c r="I55" s="196">
        <f>I48+I53</f>
        <v>60065.970000000147</v>
      </c>
      <c r="J55" s="197"/>
    </row>
    <row r="56" spans="2:12" ht="15.75" thickBot="1" x14ac:dyDescent="0.3">
      <c r="B56"/>
    </row>
    <row r="57" spans="2:12" ht="8.25" customHeight="1" x14ac:dyDescent="0.25">
      <c r="B57" s="199"/>
      <c r="C57" s="200"/>
      <c r="D57" s="200"/>
      <c r="E57" s="200"/>
      <c r="F57" s="200"/>
      <c r="G57" s="201"/>
    </row>
    <row r="58" spans="2:12" ht="18.75" x14ac:dyDescent="0.3">
      <c r="B58" s="202" t="s">
        <v>220</v>
      </c>
      <c r="C58" s="176"/>
      <c r="G58" s="203"/>
    </row>
    <row r="59" spans="2:12" ht="6.75" customHeight="1" x14ac:dyDescent="0.25">
      <c r="B59" s="175"/>
      <c r="C59" s="176"/>
      <c r="G59" s="203"/>
    </row>
    <row r="60" spans="2:12" x14ac:dyDescent="0.25">
      <c r="B60" s="175" t="s">
        <v>221</v>
      </c>
      <c r="C60" s="176"/>
      <c r="F60" s="179"/>
      <c r="G60" s="180" t="s">
        <v>222</v>
      </c>
    </row>
    <row r="61" spans="2:12" ht="5.65" customHeight="1" x14ac:dyDescent="0.25">
      <c r="B61" s="181"/>
      <c r="F61" s="179"/>
      <c r="G61" s="180"/>
    </row>
    <row r="62" spans="2:12" x14ac:dyDescent="0.25">
      <c r="B62" s="181" t="s">
        <v>223</v>
      </c>
      <c r="F62" s="204"/>
      <c r="G62" s="205">
        <v>1083942.57</v>
      </c>
    </row>
    <row r="63" spans="2:12" x14ac:dyDescent="0.25">
      <c r="B63" s="181" t="s">
        <v>224</v>
      </c>
      <c r="F63" s="25"/>
      <c r="G63" s="206">
        <v>202091.58</v>
      </c>
    </row>
    <row r="64" spans="2:12" x14ac:dyDescent="0.25">
      <c r="B64" s="181" t="s">
        <v>225</v>
      </c>
      <c r="F64" s="168">
        <v>192690.04</v>
      </c>
      <c r="G64" s="206"/>
    </row>
    <row r="65" spans="2:8" x14ac:dyDescent="0.25">
      <c r="B65" s="181" t="s">
        <v>226</v>
      </c>
      <c r="F65" s="168">
        <v>0</v>
      </c>
      <c r="G65" s="206"/>
    </row>
    <row r="66" spans="2:8" x14ac:dyDescent="0.25">
      <c r="B66" s="181" t="s">
        <v>227</v>
      </c>
      <c r="F66" s="168">
        <v>9401.5400000000009</v>
      </c>
      <c r="G66" s="206"/>
    </row>
    <row r="67" spans="2:8" x14ac:dyDescent="0.25">
      <c r="B67" s="181" t="s">
        <v>228</v>
      </c>
      <c r="F67" s="168"/>
      <c r="G67" s="206">
        <f>F68+F69+F70</f>
        <v>541312.89</v>
      </c>
    </row>
    <row r="68" spans="2:8" x14ac:dyDescent="0.25">
      <c r="B68" s="181" t="s">
        <v>225</v>
      </c>
      <c r="F68" s="168">
        <v>342109.32</v>
      </c>
      <c r="G68" s="206"/>
    </row>
    <row r="69" spans="2:8" x14ac:dyDescent="0.25">
      <c r="B69" s="181" t="s">
        <v>226</v>
      </c>
      <c r="F69" s="168">
        <v>0</v>
      </c>
      <c r="G69" s="206"/>
    </row>
    <row r="70" spans="2:8" x14ac:dyDescent="0.25">
      <c r="B70" s="181" t="s">
        <v>227</v>
      </c>
      <c r="F70" s="168">
        <v>199203.57</v>
      </c>
      <c r="G70" s="206"/>
    </row>
    <row r="71" spans="2:8" x14ac:dyDescent="0.25">
      <c r="B71" s="181" t="s">
        <v>229</v>
      </c>
      <c r="F71" s="168"/>
      <c r="G71" s="206">
        <f>F72+F73</f>
        <v>0</v>
      </c>
    </row>
    <row r="72" spans="2:8" x14ac:dyDescent="0.25">
      <c r="B72" s="181" t="s">
        <v>230</v>
      </c>
      <c r="F72" s="168">
        <v>0</v>
      </c>
      <c r="G72" s="206"/>
    </row>
    <row r="73" spans="2:8" x14ac:dyDescent="0.25">
      <c r="B73" s="181" t="s">
        <v>231</v>
      </c>
      <c r="F73" s="168">
        <v>0</v>
      </c>
      <c r="G73" s="206"/>
    </row>
    <row r="74" spans="2:8" x14ac:dyDescent="0.25">
      <c r="B74" s="181"/>
      <c r="F74" s="168"/>
      <c r="G74" s="206"/>
    </row>
    <row r="75" spans="2:8" x14ac:dyDescent="0.25">
      <c r="B75" s="181" t="s">
        <v>232</v>
      </c>
      <c r="F75" s="25"/>
      <c r="G75" s="206">
        <f>G62+G63-G67+G71</f>
        <v>744721.26000000013</v>
      </c>
    </row>
    <row r="76" spans="2:8" x14ac:dyDescent="0.25">
      <c r="B76" s="181"/>
      <c r="F76" s="25"/>
      <c r="G76" s="206"/>
    </row>
    <row r="77" spans="2:8" x14ac:dyDescent="0.25">
      <c r="B77" s="207" t="s">
        <v>233</v>
      </c>
      <c r="C77" s="208"/>
      <c r="D77" s="208"/>
      <c r="E77" s="208"/>
      <c r="F77" s="209"/>
      <c r="G77" s="210">
        <v>0</v>
      </c>
    </row>
    <row r="78" spans="2:8" x14ac:dyDescent="0.25">
      <c r="B78" s="211" t="s">
        <v>234</v>
      </c>
      <c r="C78" s="212"/>
      <c r="D78" s="212"/>
      <c r="E78" s="212"/>
      <c r="F78" s="183"/>
      <c r="G78" s="215">
        <v>477279.18</v>
      </c>
    </row>
    <row r="79" spans="2:8" ht="5.25" customHeight="1" x14ac:dyDescent="0.25">
      <c r="B79" s="181"/>
      <c r="F79" s="25"/>
      <c r="G79" s="206"/>
    </row>
    <row r="80" spans="2:8" ht="19.5" thickBot="1" x14ac:dyDescent="0.35">
      <c r="B80" s="193" t="s">
        <v>235</v>
      </c>
      <c r="C80" s="194"/>
      <c r="D80" s="194"/>
      <c r="E80" s="194"/>
      <c r="F80" s="195"/>
      <c r="G80" s="213">
        <f>G75-G77-G78</f>
        <v>267442.08000000013</v>
      </c>
      <c r="H80" s="198"/>
    </row>
  </sheetData>
  <mergeCells count="3">
    <mergeCell ref="B2:F2"/>
    <mergeCell ref="J52:K52"/>
    <mergeCell ref="J53:K5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Footer>&amp;CLiquidació pressupost 2021 IERMB _ 31-12-2021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4"/>
  <sheetViews>
    <sheetView showGridLines="0" view="pageBreakPreview" zoomScaleNormal="100" zoomScaleSheetLayoutView="100" zoomScalePageLayoutView="96" workbookViewId="0">
      <selection activeCell="J59" sqref="J59"/>
    </sheetView>
  </sheetViews>
  <sheetFormatPr baseColWidth="10" defaultRowHeight="15" x14ac:dyDescent="0.25"/>
  <cols>
    <col min="1" max="1" width="1.7109375" customWidth="1"/>
    <col min="2" max="2" width="10.7109375" customWidth="1"/>
    <col min="3" max="3" width="6.7109375" customWidth="1"/>
    <col min="4" max="4" width="49" customWidth="1"/>
    <col min="5" max="5" width="36.5703125" customWidth="1"/>
    <col min="6" max="6" width="15.28515625" customWidth="1"/>
    <col min="7" max="7" width="14.28515625" customWidth="1"/>
    <col min="8" max="9" width="15.28515625" customWidth="1"/>
    <col min="10" max="10" width="14.7109375" customWidth="1"/>
    <col min="11" max="11" width="16" customWidth="1"/>
    <col min="12" max="12" width="17.28515625" customWidth="1"/>
    <col min="14" max="14" width="20.7109375" customWidth="1"/>
  </cols>
  <sheetData>
    <row r="2" spans="1:14" ht="15.75" thickBot="1" x14ac:dyDescent="0.3"/>
    <row r="3" spans="1:14" s="17" customFormat="1" ht="18" thickBot="1" x14ac:dyDescent="0.35">
      <c r="A3" s="42" t="s">
        <v>103</v>
      </c>
      <c r="B3" s="43"/>
      <c r="C3" s="43"/>
      <c r="D3" s="43"/>
      <c r="E3" s="43"/>
      <c r="F3" s="84">
        <f t="shared" ref="F3:L3" si="0">F7</f>
        <v>1736411.89</v>
      </c>
      <c r="G3" s="84">
        <f t="shared" si="0"/>
        <v>332354.02</v>
      </c>
      <c r="H3" s="84">
        <f t="shared" si="0"/>
        <v>2068765.91</v>
      </c>
      <c r="I3" s="84">
        <f t="shared" si="0"/>
        <v>713777.56</v>
      </c>
      <c r="J3" s="84">
        <f t="shared" si="0"/>
        <v>69167.679999999993</v>
      </c>
      <c r="K3" s="84">
        <f t="shared" si="0"/>
        <v>644609.88</v>
      </c>
      <c r="L3" s="84">
        <f t="shared" si="0"/>
        <v>-1354988.3499999999</v>
      </c>
    </row>
    <row r="4" spans="1:14" ht="15.75" thickBot="1" x14ac:dyDescent="0.3"/>
    <row r="5" spans="1:14" s="28" customFormat="1" ht="45.75" thickBot="1" x14ac:dyDescent="0.3">
      <c r="A5" s="44"/>
      <c r="B5" s="27" t="s">
        <v>62</v>
      </c>
      <c r="C5" s="71"/>
      <c r="D5" s="80" t="s">
        <v>3</v>
      </c>
      <c r="E5" s="72"/>
      <c r="F5" s="73" t="s">
        <v>82</v>
      </c>
      <c r="G5" s="97" t="s">
        <v>126</v>
      </c>
      <c r="H5" s="97" t="s">
        <v>127</v>
      </c>
      <c r="I5" s="117" t="s">
        <v>196</v>
      </c>
      <c r="J5" s="118" t="s">
        <v>128</v>
      </c>
      <c r="K5" s="119" t="s">
        <v>129</v>
      </c>
      <c r="L5" s="120" t="s">
        <v>130</v>
      </c>
    </row>
    <row r="6" spans="1:14" x14ac:dyDescent="0.25">
      <c r="B6" s="29"/>
      <c r="C6" s="30"/>
      <c r="D6" s="6"/>
      <c r="E6" s="6"/>
      <c r="F6" s="31"/>
    </row>
    <row r="7" spans="1:14" ht="15.75" thickBot="1" x14ac:dyDescent="0.3">
      <c r="B7" s="46">
        <v>3</v>
      </c>
      <c r="C7" s="47" t="s">
        <v>86</v>
      </c>
      <c r="D7" s="48"/>
      <c r="E7" s="48"/>
      <c r="F7" s="49">
        <f t="shared" ref="F7:L7" si="1">F10+F9+F8+F25+F30</f>
        <v>1736411.89</v>
      </c>
      <c r="G7" s="49">
        <f t="shared" si="1"/>
        <v>332354.02</v>
      </c>
      <c r="H7" s="49">
        <f t="shared" si="1"/>
        <v>2068765.91</v>
      </c>
      <c r="I7" s="49">
        <f t="shared" si="1"/>
        <v>713777.56</v>
      </c>
      <c r="J7" s="49">
        <f t="shared" si="1"/>
        <v>69167.679999999993</v>
      </c>
      <c r="K7" s="49">
        <f t="shared" si="1"/>
        <v>644609.88</v>
      </c>
      <c r="L7" s="49">
        <f t="shared" si="1"/>
        <v>-1354988.3499999999</v>
      </c>
    </row>
    <row r="8" spans="1:14" s="3" customFormat="1" ht="15.75" thickTop="1" x14ac:dyDescent="0.25">
      <c r="B8" s="79">
        <v>36001</v>
      </c>
      <c r="C8" s="14" t="s">
        <v>4</v>
      </c>
      <c r="D8" s="15"/>
      <c r="E8" s="15"/>
      <c r="F8" s="23">
        <v>150</v>
      </c>
      <c r="G8" s="23">
        <v>0</v>
      </c>
      <c r="H8" s="23">
        <f>F8+G8</f>
        <v>150</v>
      </c>
      <c r="I8" s="123">
        <v>0</v>
      </c>
      <c r="J8" s="124">
        <f>I8-K8</f>
        <v>0</v>
      </c>
      <c r="K8" s="123">
        <v>0</v>
      </c>
      <c r="L8" s="143">
        <f>I8-H8</f>
        <v>-150</v>
      </c>
    </row>
    <row r="9" spans="1:14" s="3" customFormat="1" x14ac:dyDescent="0.25">
      <c r="B9" s="76">
        <v>38900</v>
      </c>
      <c r="C9" s="50" t="s">
        <v>148</v>
      </c>
      <c r="D9" s="51"/>
      <c r="E9" s="51"/>
      <c r="F9" s="141">
        <v>0</v>
      </c>
      <c r="G9" s="141">
        <v>0</v>
      </c>
      <c r="H9" s="141">
        <v>0</v>
      </c>
      <c r="I9" s="141">
        <f>89.54+226.27+509.98</f>
        <v>825.79</v>
      </c>
      <c r="J9" s="142">
        <v>0</v>
      </c>
      <c r="K9" s="141">
        <f>89.54+226.27+509.98</f>
        <v>825.79</v>
      </c>
      <c r="L9" s="144">
        <f>I9-H9</f>
        <v>825.79</v>
      </c>
    </row>
    <row r="10" spans="1:14" x14ac:dyDescent="0.25">
      <c r="B10" s="76">
        <v>39900</v>
      </c>
      <c r="C10" s="50" t="s">
        <v>88</v>
      </c>
      <c r="D10" s="51"/>
      <c r="E10" s="51"/>
      <c r="F10" s="52">
        <f>SUM(F11:F24)</f>
        <v>1736261.89</v>
      </c>
      <c r="G10" s="52">
        <f>SUM(G11:G24)</f>
        <v>332354.02</v>
      </c>
      <c r="H10" s="52">
        <f>SUM(H11:H24)</f>
        <v>2068615.91</v>
      </c>
      <c r="I10" s="52">
        <f t="shared" ref="I10:L10" si="2">SUM(I11:I24)</f>
        <v>712951.77</v>
      </c>
      <c r="J10" s="52">
        <f t="shared" si="2"/>
        <v>69167.679999999993</v>
      </c>
      <c r="K10" s="52">
        <f t="shared" si="2"/>
        <v>643784.09</v>
      </c>
      <c r="L10" s="52">
        <f t="shared" si="2"/>
        <v>-1355664.14</v>
      </c>
      <c r="M10" s="3"/>
    </row>
    <row r="11" spans="1:14" x14ac:dyDescent="0.25">
      <c r="B11" s="77"/>
      <c r="C11" s="64" t="s">
        <v>175</v>
      </c>
      <c r="D11" s="68" t="s">
        <v>106</v>
      </c>
      <c r="E11" s="69" t="s">
        <v>105</v>
      </c>
      <c r="F11" s="105">
        <v>910266.01</v>
      </c>
      <c r="G11" s="11">
        <v>0</v>
      </c>
      <c r="H11" s="11">
        <f>F11+G11</f>
        <v>910266.01</v>
      </c>
      <c r="I11" s="11">
        <v>0</v>
      </c>
      <c r="J11" s="11">
        <f>I11-K11</f>
        <v>0</v>
      </c>
      <c r="K11" s="11">
        <v>0</v>
      </c>
      <c r="L11" s="11">
        <f>I11-H11</f>
        <v>-910266.01</v>
      </c>
      <c r="M11" s="3"/>
    </row>
    <row r="12" spans="1:14" x14ac:dyDescent="0.25">
      <c r="B12" s="77"/>
      <c r="C12" s="64" t="s">
        <v>175</v>
      </c>
      <c r="D12" s="68" t="s">
        <v>111</v>
      </c>
      <c r="E12" s="69" t="s">
        <v>105</v>
      </c>
      <c r="F12" s="105">
        <v>24000</v>
      </c>
      <c r="G12" s="11"/>
      <c r="H12" s="11">
        <f>F12+G12</f>
        <v>24000</v>
      </c>
      <c r="I12" s="11">
        <v>0</v>
      </c>
      <c r="J12" s="11">
        <f>I12-K12</f>
        <v>0</v>
      </c>
      <c r="K12" s="11">
        <v>0</v>
      </c>
      <c r="L12" s="11">
        <f>I12-H12</f>
        <v>-24000</v>
      </c>
      <c r="M12" s="3"/>
    </row>
    <row r="13" spans="1:14" x14ac:dyDescent="0.25">
      <c r="B13" s="77"/>
      <c r="C13" s="64" t="s">
        <v>175</v>
      </c>
      <c r="D13" s="68" t="s">
        <v>163</v>
      </c>
      <c r="E13" s="69" t="s">
        <v>105</v>
      </c>
      <c r="F13" s="105">
        <v>0</v>
      </c>
      <c r="G13" s="11">
        <v>85000</v>
      </c>
      <c r="H13" s="11">
        <f>F13+G13</f>
        <v>85000</v>
      </c>
      <c r="I13" s="11">
        <v>0</v>
      </c>
      <c r="J13" s="11">
        <f>I13-K13</f>
        <v>0</v>
      </c>
      <c r="K13" s="11">
        <v>0</v>
      </c>
      <c r="L13" s="11">
        <f>I13-H13</f>
        <v>-85000</v>
      </c>
      <c r="M13" s="3"/>
    </row>
    <row r="14" spans="1:14" x14ac:dyDescent="0.25">
      <c r="B14" s="77"/>
      <c r="C14" s="64" t="s">
        <v>175</v>
      </c>
      <c r="D14" s="68" t="s">
        <v>164</v>
      </c>
      <c r="E14" s="69" t="s">
        <v>105</v>
      </c>
      <c r="F14" s="105">
        <v>0</v>
      </c>
      <c r="G14" s="11">
        <v>17000</v>
      </c>
      <c r="H14" s="11">
        <f>F14+G14</f>
        <v>17000</v>
      </c>
      <c r="I14" s="11">
        <v>0</v>
      </c>
      <c r="J14" s="11">
        <f>I14-K14</f>
        <v>0</v>
      </c>
      <c r="K14" s="11">
        <v>0</v>
      </c>
      <c r="L14" s="11">
        <f>I14-H14</f>
        <v>-17000</v>
      </c>
      <c r="M14" s="3"/>
    </row>
    <row r="15" spans="1:14" s="2" customFormat="1" x14ac:dyDescent="0.25">
      <c r="B15" s="77"/>
      <c r="C15" s="114" t="s">
        <v>175</v>
      </c>
      <c r="D15" s="69" t="s">
        <v>71</v>
      </c>
      <c r="E15" s="69" t="s">
        <v>48</v>
      </c>
      <c r="F15" s="11">
        <v>317322</v>
      </c>
      <c r="G15" s="11">
        <f>80737.67+30000</f>
        <v>110737.67</v>
      </c>
      <c r="H15" s="11">
        <f>F15+G15</f>
        <v>428059.67</v>
      </c>
      <c r="I15" s="11">
        <f>36718.6+128515.1+73310.87+30000+128515.1</f>
        <v>397059.67000000004</v>
      </c>
      <c r="J15" s="11">
        <f>I15-K15</f>
        <v>15000</v>
      </c>
      <c r="K15" s="11">
        <f>36718.6+128515.1+15000+128515.1+73310.87</f>
        <v>382059.67000000004</v>
      </c>
      <c r="L15" s="11">
        <f>I15-H15</f>
        <v>-30999.999999999942</v>
      </c>
      <c r="M15" s="3"/>
    </row>
    <row r="16" spans="1:14" s="63" customFormat="1" x14ac:dyDescent="0.25">
      <c r="B16" s="78"/>
      <c r="C16" s="114" t="s">
        <v>175</v>
      </c>
      <c r="D16" s="69" t="s">
        <v>174</v>
      </c>
      <c r="E16" s="69" t="s">
        <v>146</v>
      </c>
      <c r="F16" s="11">
        <v>10164</v>
      </c>
      <c r="G16" s="11">
        <v>0</v>
      </c>
      <c r="H16" s="11">
        <f t="shared" ref="H16:H21" si="3">F16+G16</f>
        <v>10164</v>
      </c>
      <c r="I16" s="11">
        <v>0</v>
      </c>
      <c r="J16" s="11">
        <f t="shared" ref="J16:J24" si="4">I16-K16</f>
        <v>0</v>
      </c>
      <c r="K16" s="11">
        <v>0</v>
      </c>
      <c r="L16" s="11">
        <f t="shared" ref="L16:L18" si="5">I16-H16</f>
        <v>-10164</v>
      </c>
      <c r="M16" s="3"/>
      <c r="N16" s="150"/>
    </row>
    <row r="17" spans="2:15" s="63" customFormat="1" x14ac:dyDescent="0.25">
      <c r="B17" s="78"/>
      <c r="C17" s="114" t="s">
        <v>175</v>
      </c>
      <c r="D17" s="69" t="s">
        <v>173</v>
      </c>
      <c r="E17" s="69" t="s">
        <v>115</v>
      </c>
      <c r="F17" s="11">
        <v>261926.16</v>
      </c>
      <c r="G17" s="11">
        <v>0</v>
      </c>
      <c r="H17" s="11">
        <f t="shared" si="3"/>
        <v>261926.16</v>
      </c>
      <c r="I17" s="11">
        <v>0</v>
      </c>
      <c r="J17" s="11">
        <f t="shared" si="4"/>
        <v>0</v>
      </c>
      <c r="K17" s="11">
        <v>0</v>
      </c>
      <c r="L17" s="11">
        <f t="shared" si="5"/>
        <v>-261926.16</v>
      </c>
      <c r="M17" s="3"/>
    </row>
    <row r="18" spans="2:15" s="63" customFormat="1" x14ac:dyDescent="0.25">
      <c r="B18" s="78"/>
      <c r="C18" s="114" t="s">
        <v>175</v>
      </c>
      <c r="D18" s="69" t="s">
        <v>155</v>
      </c>
      <c r="E18" s="69" t="s">
        <v>116</v>
      </c>
      <c r="F18" s="11">
        <v>87308.72</v>
      </c>
      <c r="G18" s="11">
        <v>0</v>
      </c>
      <c r="H18" s="11">
        <f t="shared" si="3"/>
        <v>87308.72</v>
      </c>
      <c r="I18" s="11">
        <v>97308.72</v>
      </c>
      <c r="J18" s="11">
        <f t="shared" si="4"/>
        <v>0</v>
      </c>
      <c r="K18" s="11">
        <v>97308.72</v>
      </c>
      <c r="L18" s="11">
        <f t="shared" si="5"/>
        <v>10000</v>
      </c>
      <c r="M18" s="3"/>
    </row>
    <row r="19" spans="2:15" x14ac:dyDescent="0.25">
      <c r="C19" s="114" t="s">
        <v>175</v>
      </c>
      <c r="D19" s="69" t="s">
        <v>117</v>
      </c>
      <c r="E19" s="69" t="s">
        <v>116</v>
      </c>
      <c r="F19" s="11">
        <v>15000</v>
      </c>
      <c r="G19" s="11">
        <v>14509.25</v>
      </c>
      <c r="H19" s="11">
        <f t="shared" si="3"/>
        <v>29509.25</v>
      </c>
      <c r="I19" s="11">
        <f>20062.39+9446.86</f>
        <v>29509.25</v>
      </c>
      <c r="J19" s="11">
        <f t="shared" si="4"/>
        <v>0</v>
      </c>
      <c r="K19" s="11">
        <f>20062.39+9446.86</f>
        <v>29509.25</v>
      </c>
      <c r="L19" s="11">
        <f>I19-H19</f>
        <v>0</v>
      </c>
      <c r="M19" s="3"/>
    </row>
    <row r="20" spans="2:15" x14ac:dyDescent="0.25">
      <c r="C20" s="114" t="s">
        <v>175</v>
      </c>
      <c r="D20" s="69" t="s">
        <v>149</v>
      </c>
      <c r="E20" s="69" t="s">
        <v>116</v>
      </c>
      <c r="F20" s="11">
        <v>0</v>
      </c>
      <c r="G20" s="11">
        <v>49800</v>
      </c>
      <c r="H20" s="11">
        <f t="shared" si="3"/>
        <v>49800</v>
      </c>
      <c r="I20" s="11">
        <v>33800</v>
      </c>
      <c r="J20" s="11">
        <f t="shared" ref="J20" si="6">I20-K20</f>
        <v>0</v>
      </c>
      <c r="K20" s="11">
        <v>33800</v>
      </c>
      <c r="L20" s="11">
        <f>I20-H20</f>
        <v>-16000</v>
      </c>
      <c r="M20" s="3"/>
    </row>
    <row r="21" spans="2:15" x14ac:dyDescent="0.25">
      <c r="C21" s="114" t="s">
        <v>175</v>
      </c>
      <c r="D21" s="69" t="s">
        <v>150</v>
      </c>
      <c r="E21" s="69" t="s">
        <v>151</v>
      </c>
      <c r="F21" s="11">
        <v>0</v>
      </c>
      <c r="G21" s="11">
        <v>0</v>
      </c>
      <c r="H21" s="11">
        <f t="shared" si="3"/>
        <v>0</v>
      </c>
      <c r="I21" s="11">
        <v>13713.99</v>
      </c>
      <c r="J21" s="11">
        <f t="shared" ref="J21" si="7">I21-K21</f>
        <v>0</v>
      </c>
      <c r="K21" s="11">
        <f>13713.99</f>
        <v>13713.99</v>
      </c>
      <c r="L21" s="11">
        <f t="shared" ref="L21" si="8">I21-H21</f>
        <v>13713.99</v>
      </c>
      <c r="M21" s="3"/>
    </row>
    <row r="22" spans="2:15" x14ac:dyDescent="0.25">
      <c r="C22" s="114" t="s">
        <v>175</v>
      </c>
      <c r="D22" s="69" t="s">
        <v>181</v>
      </c>
      <c r="E22" s="69" t="s">
        <v>151</v>
      </c>
      <c r="F22" s="11">
        <v>0</v>
      </c>
      <c r="G22" s="11">
        <v>25000</v>
      </c>
      <c r="H22" s="11">
        <f t="shared" ref="H22:H23" si="9">F22+G22</f>
        <v>25000</v>
      </c>
      <c r="I22" s="11">
        <v>25000</v>
      </c>
      <c r="J22" s="11">
        <f t="shared" ref="J22:J23" si="10">I22-K22</f>
        <v>25000</v>
      </c>
      <c r="K22" s="11">
        <v>0</v>
      </c>
      <c r="L22" s="11">
        <f t="shared" ref="L22:L23" si="11">I22-H22</f>
        <v>0</v>
      </c>
      <c r="M22" s="3"/>
    </row>
    <row r="23" spans="2:15" x14ac:dyDescent="0.25">
      <c r="C23" s="114" t="s">
        <v>175</v>
      </c>
      <c r="D23" s="69" t="s">
        <v>183</v>
      </c>
      <c r="E23" s="69" t="s">
        <v>182</v>
      </c>
      <c r="F23" s="11">
        <v>0</v>
      </c>
      <c r="G23" s="11">
        <v>15476.26</v>
      </c>
      <c r="H23" s="11">
        <f t="shared" si="9"/>
        <v>15476.26</v>
      </c>
      <c r="I23" s="11">
        <f>5322.86+5076.7+5076.7</f>
        <v>15476.259999999998</v>
      </c>
      <c r="J23" s="11">
        <f t="shared" si="10"/>
        <v>0</v>
      </c>
      <c r="K23" s="11">
        <v>15476.26</v>
      </c>
      <c r="L23" s="11">
        <f t="shared" si="11"/>
        <v>0</v>
      </c>
      <c r="M23" s="3"/>
    </row>
    <row r="24" spans="2:15" x14ac:dyDescent="0.25">
      <c r="C24" s="114" t="s">
        <v>175</v>
      </c>
      <c r="D24" s="69" t="s">
        <v>77</v>
      </c>
      <c r="E24" s="69" t="s">
        <v>78</v>
      </c>
      <c r="F24" s="11">
        <v>110275</v>
      </c>
      <c r="G24" s="11">
        <v>14830.84</v>
      </c>
      <c r="H24" s="11">
        <f>F24+G24</f>
        <v>125105.84</v>
      </c>
      <c r="I24" s="11">
        <f>3080+6160+5000+1200+8000+14291.75+5000+8400+150+4958+1400+3450+10000+14830.84+826.45+8000+4938.4+1398.44</f>
        <v>101083.87999999999</v>
      </c>
      <c r="J24" s="11">
        <f t="shared" si="4"/>
        <v>29167.679999999993</v>
      </c>
      <c r="K24" s="11">
        <f>3080+6160+5000+8000+14291.75+1200+8400+5000+150+1400+10000+4958+3450+826.45</f>
        <v>71916.2</v>
      </c>
      <c r="L24" s="11">
        <f>I24-H24</f>
        <v>-24021.960000000006</v>
      </c>
      <c r="M24" s="3"/>
      <c r="N24" s="140"/>
      <c r="O24" s="214"/>
    </row>
    <row r="25" spans="2:15" hidden="1" x14ac:dyDescent="0.25">
      <c r="B25" s="76">
        <v>39901</v>
      </c>
      <c r="C25" s="50" t="s">
        <v>143</v>
      </c>
      <c r="D25" s="51"/>
      <c r="E25" s="51"/>
      <c r="F25" s="52">
        <f>SUM(F26:F29)</f>
        <v>0</v>
      </c>
      <c r="G25" s="52">
        <f t="shared" ref="G25:L25" si="12">SUM(G26:G29)</f>
        <v>0</v>
      </c>
      <c r="H25" s="52">
        <f t="shared" si="12"/>
        <v>0</v>
      </c>
      <c r="I25" s="52">
        <f t="shared" si="12"/>
        <v>0</v>
      </c>
      <c r="J25" s="52">
        <f t="shared" si="12"/>
        <v>0</v>
      </c>
      <c r="K25" s="52">
        <f t="shared" ref="K25" si="13">SUM(K26:K29)</f>
        <v>0</v>
      </c>
      <c r="L25" s="52">
        <f t="shared" si="12"/>
        <v>0</v>
      </c>
      <c r="M25" s="3"/>
    </row>
    <row r="26" spans="2:15" hidden="1" x14ac:dyDescent="0.25">
      <c r="B26" s="77"/>
      <c r="C26" s="64"/>
      <c r="D26" s="69" t="s">
        <v>123</v>
      </c>
      <c r="E26" s="69" t="s">
        <v>115</v>
      </c>
      <c r="F26" s="105">
        <v>0</v>
      </c>
      <c r="G26" s="11">
        <v>0</v>
      </c>
      <c r="H26" s="11">
        <f t="shared" ref="H26:H29" si="14">F26+G26</f>
        <v>0</v>
      </c>
      <c r="I26" s="11">
        <v>0</v>
      </c>
      <c r="J26" s="11">
        <f t="shared" ref="J26:J29" si="15">I26-K26</f>
        <v>0</v>
      </c>
      <c r="K26" s="11">
        <v>0</v>
      </c>
      <c r="L26" s="11">
        <f t="shared" ref="L26:L29" si="16">I26-H26</f>
        <v>0</v>
      </c>
      <c r="M26" s="3"/>
    </row>
    <row r="27" spans="2:15" hidden="1" x14ac:dyDescent="0.25">
      <c r="D27" s="69" t="s">
        <v>124</v>
      </c>
      <c r="E27" s="69" t="s">
        <v>116</v>
      </c>
      <c r="F27" s="11">
        <v>0</v>
      </c>
      <c r="G27" s="11">
        <v>0</v>
      </c>
      <c r="H27" s="11">
        <f t="shared" si="14"/>
        <v>0</v>
      </c>
      <c r="I27" s="11">
        <v>0</v>
      </c>
      <c r="J27" s="11">
        <f t="shared" si="15"/>
        <v>0</v>
      </c>
      <c r="K27" s="11">
        <v>0</v>
      </c>
      <c r="L27" s="11">
        <f t="shared" si="16"/>
        <v>0</v>
      </c>
      <c r="M27" s="3"/>
    </row>
    <row r="28" spans="2:15" hidden="1" x14ac:dyDescent="0.25">
      <c r="D28" s="69" t="s">
        <v>117</v>
      </c>
      <c r="E28" s="69" t="s">
        <v>116</v>
      </c>
      <c r="F28" s="11">
        <v>0</v>
      </c>
      <c r="G28" s="11">
        <v>0</v>
      </c>
      <c r="H28" s="11">
        <f t="shared" si="14"/>
        <v>0</v>
      </c>
      <c r="I28" s="11">
        <v>0</v>
      </c>
      <c r="J28" s="11">
        <f>I28-K28</f>
        <v>0</v>
      </c>
      <c r="K28" s="11">
        <v>0</v>
      </c>
      <c r="L28" s="11">
        <f>I28-H28</f>
        <v>0</v>
      </c>
      <c r="M28" s="3"/>
    </row>
    <row r="29" spans="2:15" hidden="1" x14ac:dyDescent="0.25">
      <c r="C29" s="2"/>
      <c r="D29" s="69" t="s">
        <v>77</v>
      </c>
      <c r="E29" s="69" t="s">
        <v>78</v>
      </c>
      <c r="F29" s="11">
        <v>0</v>
      </c>
      <c r="G29" s="11">
        <v>0</v>
      </c>
      <c r="H29" s="11">
        <f t="shared" si="14"/>
        <v>0</v>
      </c>
      <c r="I29" s="11">
        <v>0</v>
      </c>
      <c r="J29" s="11">
        <f t="shared" si="15"/>
        <v>0</v>
      </c>
      <c r="K29" s="11">
        <v>0</v>
      </c>
      <c r="L29" s="11">
        <f t="shared" si="16"/>
        <v>0</v>
      </c>
      <c r="M29" s="3"/>
    </row>
    <row r="30" spans="2:15" hidden="1" x14ac:dyDescent="0.25">
      <c r="B30" s="76">
        <v>39902</v>
      </c>
      <c r="C30" s="50" t="s">
        <v>142</v>
      </c>
      <c r="D30" s="51"/>
      <c r="E30" s="51"/>
      <c r="F30" s="52">
        <f>SUM(F31:F32)</f>
        <v>0</v>
      </c>
      <c r="G30" s="52">
        <f>SUM(G31:G32)</f>
        <v>0</v>
      </c>
      <c r="H30" s="52">
        <f t="shared" ref="H30:L30" si="17">SUM(H31:H32)</f>
        <v>0</v>
      </c>
      <c r="I30" s="52">
        <f t="shared" si="17"/>
        <v>0</v>
      </c>
      <c r="J30" s="52">
        <f t="shared" si="17"/>
        <v>0</v>
      </c>
      <c r="K30" s="52">
        <f t="shared" ref="K30" si="18">SUM(K31:K32)</f>
        <v>0</v>
      </c>
      <c r="L30" s="52">
        <f t="shared" si="17"/>
        <v>0</v>
      </c>
      <c r="M30" s="3"/>
    </row>
    <row r="31" spans="2:15" hidden="1" x14ac:dyDescent="0.25">
      <c r="B31" s="77"/>
      <c r="C31" s="64"/>
      <c r="D31" s="68" t="s">
        <v>106</v>
      </c>
      <c r="E31" s="69" t="s">
        <v>105</v>
      </c>
      <c r="F31" s="105">
        <v>0</v>
      </c>
      <c r="G31" s="11">
        <v>0</v>
      </c>
      <c r="H31" s="11">
        <f>F31+G31</f>
        <v>0</v>
      </c>
      <c r="I31" s="11">
        <v>0</v>
      </c>
      <c r="J31" s="11">
        <f>I31-K31</f>
        <v>0</v>
      </c>
      <c r="K31" s="11">
        <v>0</v>
      </c>
      <c r="L31" s="11">
        <f>I31-H31</f>
        <v>0</v>
      </c>
      <c r="M31" s="3"/>
    </row>
    <row r="32" spans="2:15" hidden="1" x14ac:dyDescent="0.25">
      <c r="B32" s="77"/>
      <c r="C32" s="135"/>
      <c r="D32" s="69" t="s">
        <v>77</v>
      </c>
      <c r="E32" s="69" t="s">
        <v>78</v>
      </c>
      <c r="F32" s="11">
        <v>0</v>
      </c>
      <c r="G32" s="11">
        <v>0</v>
      </c>
      <c r="H32" s="11">
        <f>F32+G32</f>
        <v>0</v>
      </c>
      <c r="I32" s="11">
        <v>0</v>
      </c>
      <c r="J32" s="11">
        <f>I32-K32</f>
        <v>0</v>
      </c>
      <c r="K32" s="11">
        <v>0</v>
      </c>
      <c r="L32" s="11">
        <f>I32-H32</f>
        <v>0</v>
      </c>
      <c r="M32" s="3"/>
    </row>
    <row r="33" spans="4:13" x14ac:dyDescent="0.25">
      <c r="F33" s="25"/>
      <c r="M33" s="3"/>
    </row>
    <row r="34" spans="4:13" x14ac:dyDescent="0.25">
      <c r="D34" s="113" t="s">
        <v>118</v>
      </c>
      <c r="M34" s="3"/>
    </row>
    <row r="35" spans="4:13" x14ac:dyDescent="0.25">
      <c r="K35" s="25"/>
      <c r="L35" s="137"/>
      <c r="M35" s="3"/>
    </row>
    <row r="36" spans="4:13" ht="12.6" hidden="1" customHeight="1" x14ac:dyDescent="0.25">
      <c r="L36" s="137"/>
      <c r="M36" s="3"/>
    </row>
    <row r="37" spans="4:13" ht="15" hidden="1" customHeight="1" x14ac:dyDescent="0.25">
      <c r="E37" t="s">
        <v>170</v>
      </c>
      <c r="F37" s="25">
        <f>SUM(F39:F52)</f>
        <v>90445.439999999988</v>
      </c>
      <c r="I37" t="s">
        <v>186</v>
      </c>
      <c r="L37" s="137"/>
    </row>
    <row r="38" spans="4:13" hidden="1" x14ac:dyDescent="0.25">
      <c r="L38" s="137"/>
    </row>
    <row r="39" spans="4:13" hidden="1" x14ac:dyDescent="0.25">
      <c r="E39" t="s">
        <v>166</v>
      </c>
      <c r="F39" s="11">
        <v>14291.75</v>
      </c>
      <c r="G39" t="s">
        <v>187</v>
      </c>
      <c r="I39" t="s">
        <v>190</v>
      </c>
      <c r="J39" t="s">
        <v>191</v>
      </c>
      <c r="K39" s="164">
        <v>8263.5300000000007</v>
      </c>
      <c r="L39" s="137" t="s">
        <v>188</v>
      </c>
    </row>
    <row r="40" spans="4:13" hidden="1" x14ac:dyDescent="0.25">
      <c r="E40" t="s">
        <v>167</v>
      </c>
      <c r="F40" s="11">
        <v>8000</v>
      </c>
      <c r="G40" t="s">
        <v>187</v>
      </c>
    </row>
    <row r="41" spans="4:13" hidden="1" x14ac:dyDescent="0.25">
      <c r="E41" t="s">
        <v>168</v>
      </c>
      <c r="F41" s="11">
        <v>10000</v>
      </c>
      <c r="G41" t="s">
        <v>187</v>
      </c>
    </row>
    <row r="42" spans="4:13" hidden="1" x14ac:dyDescent="0.25">
      <c r="E42" t="s">
        <v>169</v>
      </c>
      <c r="F42" s="11">
        <v>1200</v>
      </c>
      <c r="G42" t="s">
        <v>187</v>
      </c>
    </row>
    <row r="43" spans="4:13" hidden="1" x14ac:dyDescent="0.25">
      <c r="E43" t="s">
        <v>171</v>
      </c>
      <c r="F43" s="11">
        <v>8400</v>
      </c>
      <c r="G43" t="s">
        <v>187</v>
      </c>
    </row>
    <row r="44" spans="4:13" hidden="1" x14ac:dyDescent="0.25">
      <c r="E44" t="s">
        <v>165</v>
      </c>
      <c r="F44" s="11">
        <v>4958</v>
      </c>
      <c r="G44" t="s">
        <v>187</v>
      </c>
    </row>
    <row r="45" spans="4:13" hidden="1" x14ac:dyDescent="0.25">
      <c r="E45" t="s">
        <v>172</v>
      </c>
      <c r="F45" s="11">
        <v>150</v>
      </c>
      <c r="G45" t="s">
        <v>187</v>
      </c>
    </row>
    <row r="46" spans="4:13" hidden="1" x14ac:dyDescent="0.25">
      <c r="E46" t="s">
        <v>189</v>
      </c>
      <c r="F46" s="11">
        <v>1400</v>
      </c>
      <c r="G46" t="s">
        <v>187</v>
      </c>
      <c r="L46" s="165"/>
    </row>
    <row r="47" spans="4:13" hidden="1" x14ac:dyDescent="0.25">
      <c r="E47" t="s">
        <v>194</v>
      </c>
      <c r="F47" s="11">
        <v>3450</v>
      </c>
      <c r="G47" t="s">
        <v>187</v>
      </c>
      <c r="L47" s="165"/>
    </row>
    <row r="48" spans="4:13" hidden="1" x14ac:dyDescent="0.25">
      <c r="E48" t="s">
        <v>195</v>
      </c>
      <c r="F48" s="11">
        <v>10000</v>
      </c>
      <c r="G48" t="s">
        <v>187</v>
      </c>
      <c r="L48" s="137"/>
    </row>
    <row r="49" spans="5:12" hidden="1" x14ac:dyDescent="0.25">
      <c r="E49" t="s">
        <v>197</v>
      </c>
      <c r="F49" s="11">
        <f>7415.42*2</f>
        <v>14830.84</v>
      </c>
      <c r="G49" s="2" t="s">
        <v>187</v>
      </c>
      <c r="L49" s="138"/>
    </row>
    <row r="50" spans="5:12" hidden="1" x14ac:dyDescent="0.25">
      <c r="E50" t="s">
        <v>192</v>
      </c>
      <c r="F50" s="11">
        <v>826.45</v>
      </c>
      <c r="G50" s="165" t="s">
        <v>187</v>
      </c>
      <c r="L50" s="137"/>
    </row>
    <row r="51" spans="5:12" hidden="1" x14ac:dyDescent="0.25">
      <c r="E51" t="s">
        <v>198</v>
      </c>
      <c r="F51" s="11">
        <v>8000</v>
      </c>
      <c r="G51" s="2" t="s">
        <v>187</v>
      </c>
    </row>
    <row r="52" spans="5:12" hidden="1" x14ac:dyDescent="0.25">
      <c r="E52" t="s">
        <v>199</v>
      </c>
      <c r="F52" s="11">
        <v>4938.3999999999996</v>
      </c>
      <c r="G52" t="s">
        <v>187</v>
      </c>
    </row>
    <row r="53" spans="5:12" x14ac:dyDescent="0.25">
      <c r="F53" s="103"/>
    </row>
    <row r="54" spans="5:12" x14ac:dyDescent="0.25">
      <c r="F54" s="10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headerFooter>
    <oddFooter>&amp;CLiquidació pressupost 2021 IERMB _ 31-12-2021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showGridLines="0" zoomScaleNormal="100" zoomScaleSheetLayoutView="110" workbookViewId="0">
      <selection activeCell="D15" sqref="D15:D16"/>
    </sheetView>
  </sheetViews>
  <sheetFormatPr baseColWidth="10" defaultRowHeight="15" x14ac:dyDescent="0.25"/>
  <cols>
    <col min="1" max="1" width="1.7109375" customWidth="1"/>
    <col min="2" max="2" width="10.7109375" customWidth="1"/>
    <col min="3" max="3" width="7.42578125" customWidth="1"/>
    <col min="4" max="4" width="46.7109375" customWidth="1"/>
    <col min="5" max="5" width="5.28515625" customWidth="1"/>
    <col min="6" max="6" width="18.7109375" customWidth="1"/>
    <col min="7" max="7" width="14.28515625" customWidth="1"/>
    <col min="8" max="8" width="15.42578125" customWidth="1"/>
    <col min="9" max="9" width="17.5703125" customWidth="1"/>
    <col min="10" max="10" width="16.5703125" customWidth="1"/>
    <col min="11" max="11" width="18.5703125" customWidth="1"/>
    <col min="12" max="12" width="17.28515625" customWidth="1"/>
  </cols>
  <sheetData>
    <row r="1" spans="1:15" x14ac:dyDescent="0.25">
      <c r="A1" s="4"/>
    </row>
    <row r="2" spans="1:15" ht="15.75" customHeight="1" thickBot="1" x14ac:dyDescent="0.3">
      <c r="A2" s="4"/>
    </row>
    <row r="3" spans="1:15" s="17" customFormat="1" ht="18" thickBot="1" x14ac:dyDescent="0.35">
      <c r="A3" s="42" t="s">
        <v>102</v>
      </c>
      <c r="B3" s="43"/>
      <c r="C3" s="43"/>
      <c r="D3" s="43"/>
      <c r="E3" s="43"/>
      <c r="F3" s="84">
        <f>F7</f>
        <v>1688393</v>
      </c>
      <c r="G3" s="84">
        <f t="shared" ref="G3:L3" si="0">G7</f>
        <v>460907.56</v>
      </c>
      <c r="H3" s="84">
        <f t="shared" si="0"/>
        <v>2149300.56</v>
      </c>
      <c r="I3" s="84">
        <f t="shared" si="0"/>
        <v>3232138.7600000002</v>
      </c>
      <c r="J3" s="84">
        <f t="shared" si="0"/>
        <v>123522.36</v>
      </c>
      <c r="K3" s="84">
        <f t="shared" si="0"/>
        <v>3108616.4000000004</v>
      </c>
      <c r="L3" s="84">
        <f t="shared" si="0"/>
        <v>1082838.2</v>
      </c>
    </row>
    <row r="4" spans="1:15" ht="15.75" thickBot="1" x14ac:dyDescent="0.3">
      <c r="A4" s="4"/>
    </row>
    <row r="5" spans="1:15" s="28" customFormat="1" ht="48.75" customHeight="1" thickBot="1" x14ac:dyDescent="0.3">
      <c r="A5" s="44"/>
      <c r="B5" s="27" t="s">
        <v>62</v>
      </c>
      <c r="C5" s="71"/>
      <c r="D5" s="80" t="s">
        <v>3</v>
      </c>
      <c r="E5" s="74"/>
      <c r="F5" s="75" t="s">
        <v>83</v>
      </c>
      <c r="G5" s="97" t="s">
        <v>126</v>
      </c>
      <c r="H5" s="97" t="s">
        <v>127</v>
      </c>
      <c r="I5" s="117" t="s">
        <v>196</v>
      </c>
      <c r="J5" s="118" t="s">
        <v>128</v>
      </c>
      <c r="K5" s="119" t="s">
        <v>129</v>
      </c>
      <c r="L5" s="120" t="s">
        <v>130</v>
      </c>
    </row>
    <row r="6" spans="1:15" x14ac:dyDescent="0.25">
      <c r="A6" s="4"/>
    </row>
    <row r="7" spans="1:15" ht="15.75" thickBot="1" x14ac:dyDescent="0.3">
      <c r="A7" s="4"/>
      <c r="B7" s="46">
        <v>4</v>
      </c>
      <c r="C7" s="47" t="s">
        <v>55</v>
      </c>
      <c r="D7" s="48"/>
      <c r="E7" s="48"/>
      <c r="F7" s="49">
        <f>F8+F11+F19+F23+F32+F17+F36+F13+F28+F30</f>
        <v>1688393</v>
      </c>
      <c r="G7" s="49">
        <f t="shared" ref="G7:L7" si="1">G8+G11+G19+G23+G32+G17+G36+G13+G28+G30</f>
        <v>460907.56</v>
      </c>
      <c r="H7" s="49">
        <f t="shared" si="1"/>
        <v>2149300.56</v>
      </c>
      <c r="I7" s="49">
        <f t="shared" si="1"/>
        <v>3232138.7600000002</v>
      </c>
      <c r="J7" s="49">
        <f t="shared" si="1"/>
        <v>123522.36</v>
      </c>
      <c r="K7" s="49">
        <f t="shared" si="1"/>
        <v>3108616.4000000004</v>
      </c>
      <c r="L7" s="49">
        <f t="shared" si="1"/>
        <v>1082838.2</v>
      </c>
    </row>
    <row r="8" spans="1:15" ht="15.75" thickTop="1" x14ac:dyDescent="0.25">
      <c r="B8" s="81">
        <v>42190</v>
      </c>
      <c r="C8" s="14" t="s">
        <v>154</v>
      </c>
      <c r="D8" s="15"/>
      <c r="E8" s="15"/>
      <c r="F8" s="23">
        <f>SUM(F9:F10)</f>
        <v>0</v>
      </c>
      <c r="G8" s="23">
        <f>SUM(G9:G10)</f>
        <v>156000</v>
      </c>
      <c r="H8" s="23">
        <f t="shared" ref="H8:L8" si="2">SUM(H9:H10)</f>
        <v>156000</v>
      </c>
      <c r="I8" s="23">
        <f t="shared" si="2"/>
        <v>166164</v>
      </c>
      <c r="J8" s="23">
        <f t="shared" si="2"/>
        <v>0</v>
      </c>
      <c r="K8" s="23">
        <f t="shared" si="2"/>
        <v>166164</v>
      </c>
      <c r="L8" s="23">
        <f t="shared" si="2"/>
        <v>10164</v>
      </c>
      <c r="N8" s="25"/>
      <c r="O8" s="25"/>
    </row>
    <row r="9" spans="1:15" x14ac:dyDescent="0.25">
      <c r="B9" s="83"/>
      <c r="C9" s="157" t="s">
        <v>175</v>
      </c>
      <c r="D9" s="65" t="s">
        <v>158</v>
      </c>
      <c r="E9" s="66"/>
      <c r="F9" s="106">
        <v>0</v>
      </c>
      <c r="G9" s="11">
        <v>0</v>
      </c>
      <c r="H9" s="11">
        <f>F9+G9</f>
        <v>0</v>
      </c>
      <c r="I9" s="106">
        <v>10164</v>
      </c>
      <c r="J9" s="106">
        <f>I9-K9</f>
        <v>0</v>
      </c>
      <c r="K9" s="106">
        <v>10164</v>
      </c>
      <c r="L9" s="106">
        <f>I9-H9</f>
        <v>10164</v>
      </c>
      <c r="N9" s="25"/>
      <c r="O9" s="25"/>
    </row>
    <row r="10" spans="1:15" x14ac:dyDescent="0.25">
      <c r="B10" s="83"/>
      <c r="C10" s="158" t="s">
        <v>175</v>
      </c>
      <c r="D10" s="67" t="s">
        <v>157</v>
      </c>
      <c r="E10" s="68"/>
      <c r="F10" s="11">
        <v>0</v>
      </c>
      <c r="G10" s="11">
        <v>156000</v>
      </c>
      <c r="H10" s="11">
        <f>F10+G10</f>
        <v>156000</v>
      </c>
      <c r="I10" s="105">
        <v>156000</v>
      </c>
      <c r="J10" s="105">
        <f>I10-K10</f>
        <v>0</v>
      </c>
      <c r="K10" s="105">
        <v>156000</v>
      </c>
      <c r="L10" s="105">
        <f>I10-H10</f>
        <v>0</v>
      </c>
      <c r="N10" s="25"/>
      <c r="O10" s="25"/>
    </row>
    <row r="11" spans="1:15" x14ac:dyDescent="0.25">
      <c r="B11" s="81">
        <v>45080</v>
      </c>
      <c r="C11" s="155" t="s">
        <v>5</v>
      </c>
      <c r="D11" s="156"/>
      <c r="E11" s="15"/>
      <c r="F11" s="23">
        <f t="shared" ref="F11:L11" si="3">SUM(F12:F12)</f>
        <v>37500</v>
      </c>
      <c r="G11" s="23">
        <f t="shared" si="3"/>
        <v>0</v>
      </c>
      <c r="H11" s="23">
        <f t="shared" si="3"/>
        <v>37500</v>
      </c>
      <c r="I11" s="23">
        <f t="shared" si="3"/>
        <v>0</v>
      </c>
      <c r="J11" s="23">
        <f t="shared" si="3"/>
        <v>0</v>
      </c>
      <c r="K11" s="23">
        <f t="shared" si="3"/>
        <v>0</v>
      </c>
      <c r="L11" s="23">
        <f t="shared" si="3"/>
        <v>-37500</v>
      </c>
      <c r="N11" s="25"/>
      <c r="O11" s="25"/>
    </row>
    <row r="12" spans="1:15" x14ac:dyDescent="0.25">
      <c r="B12" s="82"/>
      <c r="C12" s="2" t="s">
        <v>175</v>
      </c>
      <c r="D12" s="66" t="s">
        <v>81</v>
      </c>
      <c r="E12" s="66"/>
      <c r="F12" s="106">
        <v>37500</v>
      </c>
      <c r="G12" s="11">
        <v>0</v>
      </c>
      <c r="H12" s="11">
        <f>F12+G12</f>
        <v>37500</v>
      </c>
      <c r="I12" s="11">
        <v>0</v>
      </c>
      <c r="J12" s="11">
        <f>I12-K12</f>
        <v>0</v>
      </c>
      <c r="K12" s="11">
        <v>0</v>
      </c>
      <c r="L12" s="11">
        <f>I12-H12</f>
        <v>-37500</v>
      </c>
      <c r="N12" s="25"/>
      <c r="O12" s="25"/>
    </row>
    <row r="13" spans="1:15" x14ac:dyDescent="0.25">
      <c r="B13" s="81">
        <v>45100</v>
      </c>
      <c r="C13" s="14" t="s">
        <v>156</v>
      </c>
      <c r="D13" s="15"/>
      <c r="E13" s="15"/>
      <c r="F13" s="23">
        <f>SUM(F14:F16)</f>
        <v>0</v>
      </c>
      <c r="G13" s="23">
        <f t="shared" ref="G13:L13" si="4">SUM(G14:G16)</f>
        <v>0</v>
      </c>
      <c r="H13" s="23">
        <f t="shared" si="4"/>
        <v>0</v>
      </c>
      <c r="I13" s="23">
        <f t="shared" si="4"/>
        <v>56354.36</v>
      </c>
      <c r="J13" s="23">
        <f t="shared" si="4"/>
        <v>48654.36</v>
      </c>
      <c r="K13" s="23">
        <f t="shared" si="4"/>
        <v>7700</v>
      </c>
      <c r="L13" s="23">
        <f t="shared" si="4"/>
        <v>56354.36</v>
      </c>
      <c r="N13" s="25"/>
      <c r="O13" s="25"/>
    </row>
    <row r="14" spans="1:15" x14ac:dyDescent="0.25">
      <c r="B14" s="82"/>
      <c r="C14" s="2" t="s">
        <v>175</v>
      </c>
      <c r="D14" s="149" t="s">
        <v>184</v>
      </c>
      <c r="E14" s="12"/>
      <c r="F14" s="103">
        <v>0</v>
      </c>
      <c r="G14" s="11">
        <v>0</v>
      </c>
      <c r="H14" s="11">
        <f>F14+G14</f>
        <v>0</v>
      </c>
      <c r="I14" s="11">
        <v>7700</v>
      </c>
      <c r="J14" s="11">
        <f>I14-K14</f>
        <v>0</v>
      </c>
      <c r="K14" s="11">
        <v>7700</v>
      </c>
      <c r="L14" s="11">
        <f>I14-H14</f>
        <v>7700</v>
      </c>
      <c r="N14" s="25"/>
      <c r="O14" s="25"/>
    </row>
    <row r="15" spans="1:15" s="154" customFormat="1" x14ac:dyDescent="0.25">
      <c r="C15" s="2" t="s">
        <v>175</v>
      </c>
      <c r="D15" s="68" t="s">
        <v>178</v>
      </c>
      <c r="E15" s="68"/>
      <c r="F15" s="11">
        <v>0</v>
      </c>
      <c r="G15" s="11">
        <v>0</v>
      </c>
      <c r="H15" s="11">
        <f t="shared" ref="H15:H16" si="5">F15+G15</f>
        <v>0</v>
      </c>
      <c r="I15" s="11">
        <v>0</v>
      </c>
      <c r="J15" s="11">
        <f t="shared" ref="J15:J16" si="6">I15-K15</f>
        <v>0</v>
      </c>
      <c r="K15" s="11">
        <v>0</v>
      </c>
      <c r="L15" s="11">
        <f t="shared" ref="L15:L16" si="7">I15-H15</f>
        <v>0</v>
      </c>
      <c r="M15"/>
      <c r="N15" s="167"/>
      <c r="O15" s="167"/>
    </row>
    <row r="16" spans="1:15" x14ac:dyDescent="0.25">
      <c r="B16" s="82"/>
      <c r="C16" s="2" t="s">
        <v>175</v>
      </c>
      <c r="D16" s="151" t="s">
        <v>179</v>
      </c>
      <c r="E16" s="151"/>
      <c r="F16" s="152">
        <v>0</v>
      </c>
      <c r="G16" s="11">
        <v>0</v>
      </c>
      <c r="H16" s="11">
        <f t="shared" si="5"/>
        <v>0</v>
      </c>
      <c r="I16" s="11">
        <v>48654.36</v>
      </c>
      <c r="J16" s="11">
        <f t="shared" si="6"/>
        <v>48654.36</v>
      </c>
      <c r="K16" s="11">
        <v>0</v>
      </c>
      <c r="L16" s="11">
        <f t="shared" si="7"/>
        <v>48654.36</v>
      </c>
      <c r="N16" s="25"/>
      <c r="O16" s="25"/>
    </row>
    <row r="17" spans="2:15" x14ac:dyDescent="0.25">
      <c r="B17" s="79">
        <v>45300</v>
      </c>
      <c r="C17" s="16" t="s">
        <v>7</v>
      </c>
      <c r="D17" s="15"/>
      <c r="E17" s="15"/>
      <c r="F17" s="23">
        <f>SUM(F18:F18)</f>
        <v>21423</v>
      </c>
      <c r="G17" s="23">
        <f t="shared" ref="G17:L17" si="8">SUM(G18:G18)</f>
        <v>0</v>
      </c>
      <c r="H17" s="23">
        <f t="shared" si="8"/>
        <v>21423</v>
      </c>
      <c r="I17" s="23">
        <f t="shared" si="8"/>
        <v>21423</v>
      </c>
      <c r="J17" s="23">
        <f t="shared" si="8"/>
        <v>0</v>
      </c>
      <c r="K17" s="23">
        <f t="shared" si="8"/>
        <v>21423</v>
      </c>
      <c r="L17" s="23">
        <f t="shared" si="8"/>
        <v>0</v>
      </c>
      <c r="N17" s="25"/>
      <c r="O17" s="25"/>
    </row>
    <row r="18" spans="2:15" x14ac:dyDescent="0.25">
      <c r="B18" s="83"/>
      <c r="C18" s="7" t="s">
        <v>175</v>
      </c>
      <c r="D18" s="13" t="s">
        <v>50</v>
      </c>
      <c r="E18" s="13"/>
      <c r="F18" s="104">
        <v>21423</v>
      </c>
      <c r="G18" s="11">
        <v>0</v>
      </c>
      <c r="H18" s="11">
        <f>F18+G18</f>
        <v>21423</v>
      </c>
      <c r="I18" s="11">
        <v>21423</v>
      </c>
      <c r="J18" s="11">
        <f>I18-K18</f>
        <v>0</v>
      </c>
      <c r="K18" s="11">
        <v>21423</v>
      </c>
      <c r="L18" s="11">
        <f>I18-H18</f>
        <v>0</v>
      </c>
      <c r="N18" s="25"/>
      <c r="O18" s="25"/>
    </row>
    <row r="19" spans="2:15" x14ac:dyDescent="0.25">
      <c r="B19" s="79">
        <v>46101</v>
      </c>
      <c r="C19" s="16" t="s">
        <v>0</v>
      </c>
      <c r="D19" s="15"/>
      <c r="E19" s="15"/>
      <c r="F19" s="23">
        <f>SUM(F20:F22)</f>
        <v>37500</v>
      </c>
      <c r="G19" s="23">
        <f t="shared" ref="G19:L19" si="9">SUM(G20:G22)</f>
        <v>50000</v>
      </c>
      <c r="H19" s="23">
        <f t="shared" si="9"/>
        <v>87500</v>
      </c>
      <c r="I19" s="23">
        <f t="shared" si="9"/>
        <v>87500</v>
      </c>
      <c r="J19" s="23">
        <f t="shared" si="9"/>
        <v>0</v>
      </c>
      <c r="K19" s="23">
        <f t="shared" si="9"/>
        <v>87500</v>
      </c>
      <c r="L19" s="23">
        <f t="shared" si="9"/>
        <v>0</v>
      </c>
      <c r="N19" s="25"/>
      <c r="O19" s="25"/>
    </row>
    <row r="20" spans="2:15" x14ac:dyDescent="0.25">
      <c r="B20" s="83"/>
      <c r="C20" s="159" t="s">
        <v>175</v>
      </c>
      <c r="D20" s="12" t="s">
        <v>81</v>
      </c>
      <c r="E20" s="66"/>
      <c r="F20" s="148">
        <v>37500</v>
      </c>
      <c r="G20" s="11">
        <v>0</v>
      </c>
      <c r="H20" s="11">
        <f>F20+G20</f>
        <v>37500</v>
      </c>
      <c r="I20" s="11">
        <v>37500</v>
      </c>
      <c r="J20" s="11">
        <f>I20-K20</f>
        <v>0</v>
      </c>
      <c r="K20" s="11">
        <v>37500</v>
      </c>
      <c r="L20" s="11">
        <f>I20-H20</f>
        <v>0</v>
      </c>
      <c r="N20" s="25"/>
      <c r="O20" s="25"/>
    </row>
    <row r="21" spans="2:15" x14ac:dyDescent="0.25">
      <c r="B21" s="83"/>
      <c r="C21" s="159" t="s">
        <v>175</v>
      </c>
      <c r="D21" s="69" t="s">
        <v>177</v>
      </c>
      <c r="E21" s="68"/>
      <c r="F21" s="147">
        <v>0</v>
      </c>
      <c r="G21" s="11">
        <v>0</v>
      </c>
      <c r="H21" s="11">
        <f>F21+G21</f>
        <v>0</v>
      </c>
      <c r="I21" s="11">
        <v>0</v>
      </c>
      <c r="J21" s="11">
        <f>I21-K21</f>
        <v>0</v>
      </c>
      <c r="K21" s="11">
        <v>0</v>
      </c>
      <c r="L21" s="11">
        <f>I21-H21</f>
        <v>0</v>
      </c>
      <c r="N21" s="25"/>
      <c r="O21" s="25"/>
    </row>
    <row r="22" spans="2:15" x14ac:dyDescent="0.25">
      <c r="B22" s="83"/>
      <c r="C22" s="159" t="s">
        <v>175</v>
      </c>
      <c r="D22" s="69" t="s">
        <v>185</v>
      </c>
      <c r="E22" s="12"/>
      <c r="F22" s="146">
        <v>0</v>
      </c>
      <c r="G22" s="103">
        <v>50000</v>
      </c>
      <c r="H22" s="105">
        <f>F22+G22</f>
        <v>50000</v>
      </c>
      <c r="I22" s="103">
        <v>50000</v>
      </c>
      <c r="J22" s="105">
        <f>I22-K22</f>
        <v>0</v>
      </c>
      <c r="K22" s="103">
        <v>50000</v>
      </c>
      <c r="L22" s="105">
        <f>I22-H22</f>
        <v>0</v>
      </c>
      <c r="N22" s="25"/>
      <c r="O22" s="25"/>
    </row>
    <row r="23" spans="2:15" x14ac:dyDescent="0.25">
      <c r="B23" s="79">
        <v>46201</v>
      </c>
      <c r="C23" s="16" t="s">
        <v>6</v>
      </c>
      <c r="D23" s="15"/>
      <c r="E23" s="15"/>
      <c r="F23" s="23">
        <f>SUM(F24:F27)</f>
        <v>79970</v>
      </c>
      <c r="G23" s="23">
        <f t="shared" ref="G23:H23" si="10">SUM(G24:G27)</f>
        <v>7142.36</v>
      </c>
      <c r="H23" s="23">
        <f t="shared" si="10"/>
        <v>87112.36</v>
      </c>
      <c r="I23" s="23">
        <f>SUM(I24:I27)</f>
        <v>1062946.3700000001</v>
      </c>
      <c r="J23" s="23">
        <f t="shared" ref="J23:L23" si="11">SUM(J24:J27)</f>
        <v>34868</v>
      </c>
      <c r="K23" s="23">
        <f t="shared" si="11"/>
        <v>1028078.37</v>
      </c>
      <c r="L23" s="23">
        <f t="shared" si="11"/>
        <v>975834.01</v>
      </c>
      <c r="N23" s="25"/>
      <c r="O23" s="25"/>
    </row>
    <row r="24" spans="2:15" x14ac:dyDescent="0.25">
      <c r="B24" s="83"/>
      <c r="C24" s="160" t="s">
        <v>175</v>
      </c>
      <c r="D24" s="13" t="s">
        <v>49</v>
      </c>
      <c r="E24" s="13"/>
      <c r="F24" s="104">
        <v>73970</v>
      </c>
      <c r="G24" s="11">
        <v>0</v>
      </c>
      <c r="H24" s="125">
        <f t="shared" ref="H24:H27" si="12">F24+G24</f>
        <v>73970</v>
      </c>
      <c r="I24" s="103">
        <v>73970</v>
      </c>
      <c r="J24" s="125">
        <f t="shared" ref="J24:J27" si="13">I24-K24</f>
        <v>0</v>
      </c>
      <c r="K24" s="103">
        <v>73970</v>
      </c>
      <c r="L24" s="125">
        <f t="shared" ref="L24:L27" si="14">I24-H24</f>
        <v>0</v>
      </c>
      <c r="N24" s="25"/>
      <c r="O24" s="25"/>
    </row>
    <row r="25" spans="2:15" x14ac:dyDescent="0.25">
      <c r="B25" s="83"/>
      <c r="C25" s="160" t="s">
        <v>175</v>
      </c>
      <c r="D25" s="68" t="s">
        <v>176</v>
      </c>
      <c r="E25" s="68"/>
      <c r="F25" s="147">
        <v>0</v>
      </c>
      <c r="G25" s="11">
        <v>7142.36</v>
      </c>
      <c r="H25" s="125">
        <f t="shared" si="12"/>
        <v>7142.36</v>
      </c>
      <c r="I25" s="11">
        <f>326849.97+590558.4</f>
        <v>917408.37</v>
      </c>
      <c r="J25" s="125">
        <f t="shared" si="13"/>
        <v>0</v>
      </c>
      <c r="K25" s="11">
        <f>326849.97+590558.4</f>
        <v>917408.37</v>
      </c>
      <c r="L25" s="125">
        <f t="shared" si="14"/>
        <v>910266.01</v>
      </c>
      <c r="N25" s="25"/>
      <c r="O25" s="25"/>
    </row>
    <row r="26" spans="2:15" x14ac:dyDescent="0.25">
      <c r="B26" s="83"/>
      <c r="C26" s="160" t="s">
        <v>175</v>
      </c>
      <c r="D26" s="68" t="s">
        <v>180</v>
      </c>
      <c r="E26" s="13"/>
      <c r="F26" s="105">
        <v>0</v>
      </c>
      <c r="G26" s="11">
        <v>0</v>
      </c>
      <c r="H26" s="11">
        <f t="shared" si="12"/>
        <v>0</v>
      </c>
      <c r="I26" s="105">
        <v>0</v>
      </c>
      <c r="J26" s="11">
        <f>I26-K26</f>
        <v>0</v>
      </c>
      <c r="K26" s="105">
        <v>0</v>
      </c>
      <c r="L26" s="11">
        <f>I26-H26</f>
        <v>0</v>
      </c>
      <c r="M26" s="153"/>
      <c r="N26" s="25"/>
      <c r="O26" s="25"/>
    </row>
    <row r="27" spans="2:15" x14ac:dyDescent="0.25">
      <c r="B27" s="83"/>
      <c r="C27" s="161" t="s">
        <v>175</v>
      </c>
      <c r="D27" s="100" t="s">
        <v>77</v>
      </c>
      <c r="E27" s="12"/>
      <c r="F27" s="103">
        <v>6000</v>
      </c>
      <c r="G27" s="11">
        <v>0</v>
      </c>
      <c r="H27" s="11">
        <f t="shared" si="12"/>
        <v>6000</v>
      </c>
      <c r="I27" s="11">
        <f>9700+23500+3500+17868+17000</f>
        <v>71568</v>
      </c>
      <c r="J27" s="11">
        <f t="shared" si="13"/>
        <v>34868</v>
      </c>
      <c r="K27" s="11">
        <f>9700+23500+3500</f>
        <v>36700</v>
      </c>
      <c r="L27" s="11">
        <f t="shared" si="14"/>
        <v>65568</v>
      </c>
      <c r="N27" s="25"/>
      <c r="O27" s="25"/>
    </row>
    <row r="28" spans="2:15" x14ac:dyDescent="0.25">
      <c r="B28" s="79">
        <v>46203</v>
      </c>
      <c r="C28" s="163" t="s">
        <v>182</v>
      </c>
      <c r="D28" s="156"/>
      <c r="E28" s="15"/>
      <c r="F28" s="23">
        <f>SUM(F29)</f>
        <v>0</v>
      </c>
      <c r="G28" s="23">
        <f t="shared" ref="G28:L30" si="15">SUM(G29)</f>
        <v>0</v>
      </c>
      <c r="H28" s="23">
        <f t="shared" si="15"/>
        <v>0</v>
      </c>
      <c r="I28" s="23">
        <f t="shared" si="15"/>
        <v>0</v>
      </c>
      <c r="J28" s="23">
        <f t="shared" si="15"/>
        <v>0</v>
      </c>
      <c r="K28" s="23">
        <f t="shared" si="15"/>
        <v>0</v>
      </c>
      <c r="L28" s="23">
        <f t="shared" si="15"/>
        <v>0</v>
      </c>
      <c r="N28" s="25"/>
      <c r="O28" s="25"/>
    </row>
    <row r="29" spans="2:15" x14ac:dyDescent="0.25">
      <c r="B29" s="83"/>
      <c r="C29" s="10" t="s">
        <v>175</v>
      </c>
      <c r="D29" s="13" t="s">
        <v>183</v>
      </c>
      <c r="E29" s="13"/>
      <c r="F29" s="104">
        <v>0</v>
      </c>
      <c r="G29" s="11">
        <v>0</v>
      </c>
      <c r="H29" s="125">
        <f t="shared" ref="H29" si="16">F29+G29</f>
        <v>0</v>
      </c>
      <c r="I29" s="103">
        <v>0</v>
      </c>
      <c r="J29" s="125">
        <f t="shared" ref="J29" si="17">I29-K29</f>
        <v>0</v>
      </c>
      <c r="K29" s="103">
        <v>0</v>
      </c>
      <c r="L29" s="125">
        <f t="shared" ref="L29" si="18">I29-H29</f>
        <v>0</v>
      </c>
      <c r="M29" s="153"/>
      <c r="N29" s="25"/>
      <c r="O29" s="25"/>
    </row>
    <row r="30" spans="2:15" x14ac:dyDescent="0.25">
      <c r="B30" s="79">
        <v>46204</v>
      </c>
      <c r="C30" s="163" t="s">
        <v>200</v>
      </c>
      <c r="D30" s="156"/>
      <c r="E30" s="15"/>
      <c r="F30" s="23">
        <f>SUM(F31)</f>
        <v>0</v>
      </c>
      <c r="G30" s="23">
        <f t="shared" si="15"/>
        <v>0</v>
      </c>
      <c r="H30" s="23">
        <f t="shared" si="15"/>
        <v>0</v>
      </c>
      <c r="I30" s="23">
        <f t="shared" si="15"/>
        <v>10164</v>
      </c>
      <c r="J30" s="23">
        <f t="shared" si="15"/>
        <v>0</v>
      </c>
      <c r="K30" s="23">
        <f t="shared" si="15"/>
        <v>10164</v>
      </c>
      <c r="L30" s="23">
        <f t="shared" si="15"/>
        <v>10164</v>
      </c>
    </row>
    <row r="31" spans="2:15" x14ac:dyDescent="0.25">
      <c r="B31" s="83"/>
      <c r="C31" s="10" t="s">
        <v>175</v>
      </c>
      <c r="D31" s="13"/>
      <c r="E31" s="13"/>
      <c r="F31" s="104">
        <v>0</v>
      </c>
      <c r="G31" s="11">
        <v>0</v>
      </c>
      <c r="H31" s="125">
        <f t="shared" ref="H31" si="19">F31+G31</f>
        <v>0</v>
      </c>
      <c r="I31" s="103">
        <v>10164</v>
      </c>
      <c r="J31" s="125">
        <f t="shared" ref="J31" si="20">I31-K31</f>
        <v>0</v>
      </c>
      <c r="K31" s="103">
        <v>10164</v>
      </c>
      <c r="L31" s="125">
        <f t="shared" ref="L31" si="21">I31-H31</f>
        <v>10164</v>
      </c>
      <c r="M31" s="153"/>
    </row>
    <row r="32" spans="2:15" x14ac:dyDescent="0.25">
      <c r="B32" s="79">
        <v>46401</v>
      </c>
      <c r="C32" s="16" t="s">
        <v>1</v>
      </c>
      <c r="D32" s="15"/>
      <c r="E32" s="15"/>
      <c r="F32" s="23">
        <f>SUM(F33:F35)</f>
        <v>1512000</v>
      </c>
      <c r="G32" s="23">
        <f t="shared" ref="G32:K32" si="22">SUM(G33:G35)</f>
        <v>247765.2</v>
      </c>
      <c r="H32" s="23">
        <f t="shared" si="22"/>
        <v>1759765.2</v>
      </c>
      <c r="I32" s="23">
        <f t="shared" si="22"/>
        <v>1799140.2</v>
      </c>
      <c r="J32" s="23">
        <f t="shared" si="22"/>
        <v>40000</v>
      </c>
      <c r="K32" s="23">
        <f t="shared" si="22"/>
        <v>1759140.2</v>
      </c>
      <c r="L32" s="23">
        <f>SUM(L33:L35)</f>
        <v>39375</v>
      </c>
    </row>
    <row r="33" spans="2:14" x14ac:dyDescent="0.25">
      <c r="B33" s="83"/>
      <c r="C33" s="157" t="s">
        <v>175</v>
      </c>
      <c r="D33" s="65" t="s">
        <v>104</v>
      </c>
      <c r="E33" s="66"/>
      <c r="F33" s="106">
        <v>1500000</v>
      </c>
      <c r="G33" s="11">
        <f>157556.26+90208.94</f>
        <v>247765.2</v>
      </c>
      <c r="H33" s="11">
        <f t="shared" ref="H33:H35" si="23">F33+G33</f>
        <v>1747765.2</v>
      </c>
      <c r="I33" s="106">
        <f>255000*4+159389.07*4-0.02+90208.94+40000</f>
        <v>1787765.2</v>
      </c>
      <c r="J33" s="166">
        <f>I33-K33</f>
        <v>40000</v>
      </c>
      <c r="K33" s="106">
        <f>255000*4+159389.07*4-0.02+90208.94</f>
        <v>1747765.2</v>
      </c>
      <c r="L33" s="11">
        <f>I33-H33</f>
        <v>40000</v>
      </c>
      <c r="N33" s="25"/>
    </row>
    <row r="34" spans="2:14" x14ac:dyDescent="0.25">
      <c r="B34" s="83"/>
      <c r="C34" s="162" t="s">
        <v>175</v>
      </c>
      <c r="D34" s="68" t="s">
        <v>180</v>
      </c>
      <c r="E34" s="13"/>
      <c r="F34" s="105">
        <v>0</v>
      </c>
      <c r="G34" s="11">
        <v>0</v>
      </c>
      <c r="H34" s="11">
        <f t="shared" si="23"/>
        <v>0</v>
      </c>
      <c r="I34" s="105">
        <v>0</v>
      </c>
      <c r="J34" s="11">
        <f>I34-K34</f>
        <v>0</v>
      </c>
      <c r="K34" s="105">
        <v>0</v>
      </c>
      <c r="L34" s="11">
        <f>I34-H34</f>
        <v>0</v>
      </c>
      <c r="N34" s="25"/>
    </row>
    <row r="35" spans="2:14" x14ac:dyDescent="0.25">
      <c r="B35" s="83"/>
      <c r="C35" s="158" t="s">
        <v>175</v>
      </c>
      <c r="D35" s="67" t="s">
        <v>77</v>
      </c>
      <c r="E35" s="68"/>
      <c r="F35" s="11">
        <v>12000</v>
      </c>
      <c r="G35" s="136"/>
      <c r="H35" s="11">
        <f t="shared" si="23"/>
        <v>12000</v>
      </c>
      <c r="I35" s="11">
        <f>11375</f>
        <v>11375</v>
      </c>
      <c r="J35" s="11">
        <f>SUM(J36:J38)</f>
        <v>0</v>
      </c>
      <c r="K35" s="11">
        <f>11375</f>
        <v>11375</v>
      </c>
      <c r="L35" s="11">
        <f>I35-H35</f>
        <v>-625</v>
      </c>
    </row>
    <row r="36" spans="2:14" x14ac:dyDescent="0.25">
      <c r="B36" s="81">
        <v>49700</v>
      </c>
      <c r="C36" s="14" t="s">
        <v>152</v>
      </c>
      <c r="D36" s="15"/>
      <c r="E36" s="15"/>
      <c r="F36" s="23">
        <f>SUM(F37)</f>
        <v>0</v>
      </c>
      <c r="G36" s="23">
        <f t="shared" ref="G36:L36" si="24">SUM(G37)</f>
        <v>0</v>
      </c>
      <c r="H36" s="23">
        <f t="shared" si="24"/>
        <v>0</v>
      </c>
      <c r="I36" s="23">
        <f t="shared" si="24"/>
        <v>28446.83</v>
      </c>
      <c r="J36" s="23">
        <f t="shared" si="24"/>
        <v>0</v>
      </c>
      <c r="K36" s="23">
        <f t="shared" si="24"/>
        <v>28446.83</v>
      </c>
      <c r="L36" s="23">
        <f t="shared" si="24"/>
        <v>28446.83</v>
      </c>
    </row>
    <row r="37" spans="2:14" x14ac:dyDescent="0.25">
      <c r="B37" s="82"/>
      <c r="C37" s="145" t="s">
        <v>175</v>
      </c>
      <c r="D37" s="66" t="s">
        <v>153</v>
      </c>
      <c r="E37" s="66"/>
      <c r="F37" s="106">
        <v>0</v>
      </c>
      <c r="G37" s="11">
        <v>0</v>
      </c>
      <c r="H37" s="11">
        <f>F37+G37</f>
        <v>0</v>
      </c>
      <c r="I37" s="11">
        <v>28446.83</v>
      </c>
      <c r="J37" s="11">
        <f>I37-K37</f>
        <v>0</v>
      </c>
      <c r="K37" s="11">
        <v>28446.83</v>
      </c>
      <c r="L37" s="11">
        <f>I37-H37</f>
        <v>28446.83</v>
      </c>
    </row>
    <row r="38" spans="2:14" x14ac:dyDescent="0.25">
      <c r="C38" s="134"/>
      <c r="D38" s="134"/>
      <c r="F38" s="25"/>
    </row>
    <row r="39" spans="2:14" x14ac:dyDescent="0.25">
      <c r="C39" s="134"/>
      <c r="D39" s="134"/>
      <c r="F39" s="25"/>
    </row>
    <row r="40" spans="2:14" x14ac:dyDescent="0.25">
      <c r="C40" s="134"/>
      <c r="D40" s="134"/>
      <c r="F40" s="25"/>
    </row>
    <row r="41" spans="2:14" x14ac:dyDescent="0.25">
      <c r="C41" s="134"/>
      <c r="D41" s="134"/>
      <c r="F41" s="25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Footer>&amp;CLiquidació pressupost 2021 IERMB _ 31-12-2021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23"/>
  <sheetViews>
    <sheetView showGridLines="0" view="pageLayout" topLeftCell="F6" zoomScaleNormal="85" zoomScaleSheetLayoutView="115" workbookViewId="0">
      <selection activeCell="J59" sqref="J59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6" width="14.7109375" customWidth="1"/>
    <col min="7" max="7" width="16.28515625" customWidth="1"/>
    <col min="8" max="8" width="15.42578125" customWidth="1"/>
    <col min="9" max="9" width="16.28515625" customWidth="1"/>
    <col min="10" max="10" width="14.7109375" customWidth="1"/>
    <col min="11" max="11" width="11.42578125" customWidth="1"/>
    <col min="12" max="12" width="13.7109375" customWidth="1"/>
    <col min="13" max="13" width="11.42578125" customWidth="1"/>
  </cols>
  <sheetData>
    <row r="2" spans="1:12" ht="15.75" thickBot="1" x14ac:dyDescent="0.3"/>
    <row r="3" spans="1:12" s="17" customFormat="1" ht="18" thickBot="1" x14ac:dyDescent="0.35">
      <c r="A3" s="42" t="s">
        <v>63</v>
      </c>
      <c r="B3" s="43"/>
      <c r="C3" s="43"/>
      <c r="D3" s="43"/>
      <c r="E3" s="43"/>
      <c r="F3" s="129">
        <f>F7</f>
        <v>30</v>
      </c>
      <c r="G3" s="84">
        <f t="shared" ref="G3:L3" si="0">G7</f>
        <v>0</v>
      </c>
      <c r="H3" s="84">
        <f t="shared" si="0"/>
        <v>30</v>
      </c>
      <c r="I3" s="84">
        <f t="shared" si="0"/>
        <v>0</v>
      </c>
      <c r="J3" s="84">
        <f t="shared" si="0"/>
        <v>0</v>
      </c>
      <c r="K3" s="84">
        <f t="shared" si="0"/>
        <v>0</v>
      </c>
      <c r="L3" s="84">
        <f t="shared" si="0"/>
        <v>-30</v>
      </c>
    </row>
    <row r="4" spans="1:12" ht="15.75" thickBot="1" x14ac:dyDescent="0.3"/>
    <row r="5" spans="1:12" s="28" customFormat="1" ht="30.75" thickBot="1" x14ac:dyDescent="0.3">
      <c r="A5" s="44"/>
      <c r="B5" s="27" t="s">
        <v>62</v>
      </c>
      <c r="C5" s="71"/>
      <c r="D5" s="80" t="s">
        <v>3</v>
      </c>
      <c r="E5" s="74"/>
      <c r="F5" s="75" t="s">
        <v>82</v>
      </c>
      <c r="G5" s="97" t="s">
        <v>126</v>
      </c>
      <c r="H5" s="97" t="s">
        <v>127</v>
      </c>
      <c r="I5" s="117" t="s">
        <v>196</v>
      </c>
      <c r="J5" s="118" t="s">
        <v>128</v>
      </c>
      <c r="K5" s="119" t="s">
        <v>129</v>
      </c>
      <c r="L5" s="120" t="s">
        <v>130</v>
      </c>
    </row>
    <row r="6" spans="1:12" x14ac:dyDescent="0.25">
      <c r="B6" s="29"/>
      <c r="C6" s="30"/>
      <c r="D6" s="6"/>
      <c r="E6" s="6"/>
      <c r="F6" s="54"/>
    </row>
    <row r="7" spans="1:12" ht="15.75" thickBot="1" x14ac:dyDescent="0.3">
      <c r="B7" s="46">
        <v>5</v>
      </c>
      <c r="C7" s="47" t="s">
        <v>56</v>
      </c>
      <c r="D7" s="48"/>
      <c r="E7" s="48"/>
      <c r="F7" s="49">
        <f>F8</f>
        <v>30</v>
      </c>
      <c r="G7" s="49">
        <f t="shared" ref="G7:L7" si="1">G8</f>
        <v>0</v>
      </c>
      <c r="H7" s="49">
        <f t="shared" si="1"/>
        <v>30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-30</v>
      </c>
    </row>
    <row r="8" spans="1:12" s="3" customFormat="1" ht="15.75" thickTop="1" x14ac:dyDescent="0.25">
      <c r="B8" s="76">
        <v>52000</v>
      </c>
      <c r="C8" s="50" t="s">
        <v>89</v>
      </c>
      <c r="D8" s="51"/>
      <c r="E8" s="51"/>
      <c r="F8" s="52">
        <f>F9</f>
        <v>30</v>
      </c>
      <c r="G8" s="126">
        <f t="shared" ref="G8:L8" si="2">SUM(G9)</f>
        <v>0</v>
      </c>
      <c r="H8" s="126">
        <f t="shared" si="2"/>
        <v>30</v>
      </c>
      <c r="I8" s="126">
        <f t="shared" si="2"/>
        <v>0</v>
      </c>
      <c r="J8" s="126">
        <f t="shared" si="2"/>
        <v>0</v>
      </c>
      <c r="K8" s="126">
        <f t="shared" si="2"/>
        <v>0</v>
      </c>
      <c r="L8" s="126">
        <f t="shared" si="2"/>
        <v>-30</v>
      </c>
    </row>
    <row r="9" spans="1:12" s="2" customFormat="1" x14ac:dyDescent="0.25">
      <c r="B9" s="5"/>
      <c r="C9" s="101"/>
      <c r="D9" s="53" t="s">
        <v>89</v>
      </c>
      <c r="E9" s="53"/>
      <c r="F9" s="105">
        <v>30</v>
      </c>
      <c r="G9" s="11">
        <v>0</v>
      </c>
      <c r="H9" s="106">
        <f t="shared" ref="H9" si="3">F9+G9</f>
        <v>30</v>
      </c>
      <c r="I9" s="11">
        <v>0</v>
      </c>
      <c r="J9" s="106">
        <f t="shared" ref="J9" si="4">I9-K9</f>
        <v>0</v>
      </c>
      <c r="K9" s="11">
        <v>0</v>
      </c>
      <c r="L9" s="106">
        <f t="shared" ref="L9" si="5">I9-H9</f>
        <v>-30</v>
      </c>
    </row>
    <row r="13" spans="1:12" ht="15.75" thickBot="1" x14ac:dyDescent="0.3"/>
    <row r="14" spans="1:12" s="17" customFormat="1" ht="18" thickBot="1" x14ac:dyDescent="0.35">
      <c r="A14" s="42" t="s">
        <v>136</v>
      </c>
      <c r="B14" s="43"/>
      <c r="C14" s="43"/>
      <c r="D14" s="43"/>
      <c r="E14" s="43"/>
      <c r="F14" s="129">
        <f t="shared" ref="F14:L14" si="6">F18</f>
        <v>0</v>
      </c>
      <c r="G14" s="84">
        <f t="shared" si="6"/>
        <v>394362.2</v>
      </c>
      <c r="H14" s="84">
        <f t="shared" si="6"/>
        <v>394362.2</v>
      </c>
      <c r="I14" s="84">
        <f t="shared" si="6"/>
        <v>0</v>
      </c>
      <c r="J14" s="84">
        <f t="shared" si="6"/>
        <v>0</v>
      </c>
      <c r="K14" s="84">
        <f t="shared" si="6"/>
        <v>0</v>
      </c>
      <c r="L14" s="84">
        <f t="shared" si="6"/>
        <v>-394362.2</v>
      </c>
    </row>
    <row r="15" spans="1:12" ht="15.75" thickBot="1" x14ac:dyDescent="0.3"/>
    <row r="16" spans="1:12" s="28" customFormat="1" ht="30.75" thickBot="1" x14ac:dyDescent="0.3">
      <c r="A16" s="44"/>
      <c r="B16" s="27" t="s">
        <v>62</v>
      </c>
      <c r="C16" s="71"/>
      <c r="D16" s="80" t="s">
        <v>3</v>
      </c>
      <c r="E16" s="80"/>
      <c r="F16" s="75" t="s">
        <v>82</v>
      </c>
      <c r="G16" s="97" t="s">
        <v>126</v>
      </c>
      <c r="H16" s="97" t="s">
        <v>127</v>
      </c>
      <c r="I16" s="117" t="s">
        <v>196</v>
      </c>
      <c r="J16" s="118" t="s">
        <v>128</v>
      </c>
      <c r="K16" s="119" t="s">
        <v>129</v>
      </c>
      <c r="L16" s="120" t="s">
        <v>130</v>
      </c>
    </row>
    <row r="17" spans="2:12" x14ac:dyDescent="0.25">
      <c r="B17" s="29"/>
      <c r="C17" s="30"/>
      <c r="D17" s="6"/>
      <c r="E17" s="6"/>
      <c r="F17" s="6"/>
    </row>
    <row r="18" spans="2:12" ht="15.75" thickBot="1" x14ac:dyDescent="0.3">
      <c r="B18" s="46">
        <v>8</v>
      </c>
      <c r="C18" s="47" t="s">
        <v>137</v>
      </c>
      <c r="D18" s="48"/>
      <c r="E18" s="48"/>
      <c r="F18" s="49">
        <f>F19+F22</f>
        <v>0</v>
      </c>
      <c r="G18" s="49">
        <f>G19+G22</f>
        <v>394362.2</v>
      </c>
      <c r="H18" s="49">
        <f t="shared" ref="H18:L18" si="7">H19+H22</f>
        <v>394362.2</v>
      </c>
      <c r="I18" s="49">
        <f t="shared" si="7"/>
        <v>0</v>
      </c>
      <c r="J18" s="49">
        <f t="shared" si="7"/>
        <v>0</v>
      </c>
      <c r="K18" s="49">
        <f t="shared" si="7"/>
        <v>0</v>
      </c>
      <c r="L18" s="49">
        <f t="shared" si="7"/>
        <v>-394362.2</v>
      </c>
    </row>
    <row r="19" spans="2:12" s="3" customFormat="1" ht="15.75" thickTop="1" x14ac:dyDescent="0.25">
      <c r="B19" s="76">
        <v>87010</v>
      </c>
      <c r="C19" s="50" t="s">
        <v>138</v>
      </c>
      <c r="D19" s="51"/>
      <c r="E19" s="51"/>
      <c r="F19" s="126">
        <f t="shared" ref="F19:L19" si="8">SUM(F20)</f>
        <v>0</v>
      </c>
      <c r="G19" s="126">
        <f t="shared" si="8"/>
        <v>354300.64</v>
      </c>
      <c r="H19" s="126">
        <f t="shared" si="8"/>
        <v>354300.64</v>
      </c>
      <c r="I19" s="126">
        <f t="shared" si="8"/>
        <v>0</v>
      </c>
      <c r="J19" s="126">
        <f t="shared" si="8"/>
        <v>0</v>
      </c>
      <c r="K19" s="126">
        <f t="shared" si="8"/>
        <v>0</v>
      </c>
      <c r="L19" s="126">
        <f t="shared" si="8"/>
        <v>-354300.64</v>
      </c>
    </row>
    <row r="20" spans="2:12" s="2" customFormat="1" x14ac:dyDescent="0.25">
      <c r="B20" s="5"/>
      <c r="C20" s="101"/>
      <c r="D20" s="53" t="s">
        <v>138</v>
      </c>
      <c r="E20" s="53"/>
      <c r="F20" s="130">
        <v>0</v>
      </c>
      <c r="G20" s="11">
        <v>354300.64</v>
      </c>
      <c r="H20" s="106">
        <f t="shared" ref="H20" si="9">F20+G20</f>
        <v>354300.64</v>
      </c>
      <c r="I20" s="11">
        <v>0</v>
      </c>
      <c r="J20" s="106">
        <f t="shared" ref="J20" si="10">I20-K20</f>
        <v>0</v>
      </c>
      <c r="K20" s="11">
        <v>0</v>
      </c>
      <c r="L20" s="106">
        <f t="shared" ref="L20" si="11">I20-H20</f>
        <v>-354300.64</v>
      </c>
    </row>
    <row r="21" spans="2:12" s="2" customFormat="1" x14ac:dyDescent="0.25">
      <c r="B21" s="5"/>
      <c r="C21" s="127"/>
      <c r="D21" s="128"/>
      <c r="E21" s="128"/>
      <c r="F21" s="128"/>
      <c r="G21" s="103"/>
      <c r="H21" s="103"/>
      <c r="I21" s="103"/>
      <c r="J21" s="103"/>
      <c r="K21" s="103"/>
      <c r="L21" s="103"/>
    </row>
    <row r="22" spans="2:12" s="3" customFormat="1" x14ac:dyDescent="0.25">
      <c r="B22" s="79">
        <v>87000</v>
      </c>
      <c r="C22" s="14" t="s">
        <v>147</v>
      </c>
      <c r="D22" s="15"/>
      <c r="E22" s="15"/>
      <c r="F22" s="126">
        <f t="shared" ref="F22:L22" si="12">SUM(F23)</f>
        <v>0</v>
      </c>
      <c r="G22" s="126">
        <f t="shared" si="12"/>
        <v>40061.56</v>
      </c>
      <c r="H22" s="126">
        <f t="shared" si="12"/>
        <v>40061.56</v>
      </c>
      <c r="I22" s="126">
        <f t="shared" si="12"/>
        <v>0</v>
      </c>
      <c r="J22" s="126">
        <f t="shared" si="12"/>
        <v>0</v>
      </c>
      <c r="K22" s="126">
        <f t="shared" si="12"/>
        <v>0</v>
      </c>
      <c r="L22" s="126">
        <f t="shared" si="12"/>
        <v>-40061.56</v>
      </c>
    </row>
    <row r="23" spans="2:12" s="2" customFormat="1" x14ac:dyDescent="0.25">
      <c r="B23" s="5"/>
      <c r="C23" s="101"/>
      <c r="D23" s="53" t="s">
        <v>147</v>
      </c>
      <c r="E23" s="53"/>
      <c r="F23" s="130">
        <v>0</v>
      </c>
      <c r="G23" s="11">
        <v>40061.56</v>
      </c>
      <c r="H23" s="106">
        <f t="shared" ref="H23" si="13">F23+G23</f>
        <v>40061.56</v>
      </c>
      <c r="I23" s="11">
        <v>0</v>
      </c>
      <c r="J23" s="106">
        <f t="shared" ref="J23" si="14">I23-K23</f>
        <v>0</v>
      </c>
      <c r="K23" s="11">
        <v>0</v>
      </c>
      <c r="L23" s="106">
        <f t="shared" ref="L23" si="15">I23-H23</f>
        <v>-40061.56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headerFooter>
    <oddFooter>&amp;CLiquidació pressupost 2021 IERMB _ 31-12-2021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28"/>
  <sheetViews>
    <sheetView showGridLines="0" view="pageLayout" topLeftCell="H3" zoomScaleNormal="85" zoomScaleSheetLayoutView="100" workbookViewId="0">
      <selection activeCell="J59" sqref="J59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32.5703125" customWidth="1"/>
    <col min="4" max="4" width="3" customWidth="1"/>
    <col min="5" max="5" width="3.5703125" customWidth="1"/>
    <col min="6" max="6" width="15.5703125" customWidth="1"/>
    <col min="7" max="7" width="14.28515625" customWidth="1"/>
    <col min="8" max="8" width="15.42578125" customWidth="1"/>
    <col min="9" max="9" width="17.7109375" customWidth="1"/>
    <col min="10" max="10" width="15" customWidth="1"/>
    <col min="11" max="11" width="15.7109375" customWidth="1"/>
    <col min="12" max="12" width="16.28515625" customWidth="1"/>
    <col min="13" max="13" width="3.28515625" customWidth="1"/>
  </cols>
  <sheetData>
    <row r="2" spans="1:12" ht="15.75" thickBot="1" x14ac:dyDescent="0.3"/>
    <row r="3" spans="1:12" s="56" customFormat="1" ht="18" thickBot="1" x14ac:dyDescent="0.35">
      <c r="A3" s="42" t="s">
        <v>101</v>
      </c>
      <c r="B3" s="55"/>
      <c r="C3" s="55"/>
      <c r="D3" s="55"/>
      <c r="E3" s="55"/>
      <c r="F3" s="84">
        <f>F7</f>
        <v>2558281.83</v>
      </c>
      <c r="G3" s="84">
        <f t="shared" ref="G3:L3" si="0">G7</f>
        <v>687622.43</v>
      </c>
      <c r="H3" s="84">
        <f t="shared" si="0"/>
        <v>3245904.2600000002</v>
      </c>
      <c r="I3" s="84">
        <f t="shared" si="0"/>
        <v>2910834.89</v>
      </c>
      <c r="J3" s="84">
        <f t="shared" si="0"/>
        <v>0</v>
      </c>
      <c r="K3" s="84">
        <f t="shared" si="0"/>
        <v>2910834.89</v>
      </c>
      <c r="L3" s="84">
        <f t="shared" si="0"/>
        <v>335069.37000000011</v>
      </c>
    </row>
    <row r="4" spans="1:12" ht="15.75" thickBot="1" x14ac:dyDescent="0.3"/>
    <row r="5" spans="1:12" ht="45.75" thickBot="1" x14ac:dyDescent="0.3">
      <c r="A5" s="85" t="s">
        <v>64</v>
      </c>
      <c r="B5" s="57" t="s">
        <v>65</v>
      </c>
      <c r="C5" s="88" t="s">
        <v>85</v>
      </c>
      <c r="D5" s="89"/>
      <c r="E5" s="90"/>
      <c r="F5" s="75" t="s">
        <v>82</v>
      </c>
      <c r="G5" s="97" t="s">
        <v>126</v>
      </c>
      <c r="H5" s="97" t="s">
        <v>127</v>
      </c>
      <c r="I5" s="117" t="s">
        <v>193</v>
      </c>
      <c r="J5" s="118" t="s">
        <v>128</v>
      </c>
      <c r="K5" s="119" t="s">
        <v>132</v>
      </c>
      <c r="L5" s="120" t="s">
        <v>130</v>
      </c>
    </row>
    <row r="6" spans="1:12" s="45" customForma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thickBot="1" x14ac:dyDescent="0.3">
      <c r="A7" s="58">
        <v>462</v>
      </c>
      <c r="B7" s="46">
        <v>1</v>
      </c>
      <c r="C7" s="47" t="s">
        <v>87</v>
      </c>
      <c r="D7" s="48"/>
      <c r="E7" s="59"/>
      <c r="F7" s="49">
        <f>SUM(F8:F17)</f>
        <v>2558281.83</v>
      </c>
      <c r="G7" s="49">
        <f t="shared" ref="G7:L7" si="1">SUM(G8:G16)</f>
        <v>687622.43</v>
      </c>
      <c r="H7" s="49">
        <f>SUM(H8:H16)</f>
        <v>3245904.2600000002</v>
      </c>
      <c r="I7" s="49">
        <f>SUM(I8:I16)</f>
        <v>2910834.89</v>
      </c>
      <c r="J7" s="49">
        <f t="shared" si="1"/>
        <v>0</v>
      </c>
      <c r="K7" s="49">
        <f t="shared" si="1"/>
        <v>2910834.89</v>
      </c>
      <c r="L7" s="49">
        <f t="shared" si="1"/>
        <v>335069.37000000011</v>
      </c>
    </row>
    <row r="8" spans="1:12" ht="15.75" thickTop="1" x14ac:dyDescent="0.25">
      <c r="A8" s="60" t="s">
        <v>66</v>
      </c>
      <c r="B8" s="86" t="s">
        <v>53</v>
      </c>
      <c r="C8" s="20" t="s">
        <v>54</v>
      </c>
      <c r="D8" s="9"/>
      <c r="E8" s="20"/>
      <c r="F8" s="11">
        <v>65430.54</v>
      </c>
      <c r="G8" s="11">
        <v>0</v>
      </c>
      <c r="H8" s="11">
        <f>F8+G8</f>
        <v>65430.54</v>
      </c>
      <c r="I8" s="11">
        <v>66019.38</v>
      </c>
      <c r="J8" s="11">
        <f>I8-K8</f>
        <v>0</v>
      </c>
      <c r="K8" s="11">
        <v>66019.38</v>
      </c>
      <c r="L8" s="11">
        <f>H8-I8</f>
        <v>-588.84000000000378</v>
      </c>
    </row>
    <row r="9" spans="1:12" x14ac:dyDescent="0.25">
      <c r="A9" s="60" t="s">
        <v>84</v>
      </c>
      <c r="B9" s="87" t="s">
        <v>11</v>
      </c>
      <c r="C9" s="19" t="s">
        <v>8</v>
      </c>
      <c r="D9" s="8"/>
      <c r="E9" s="19"/>
      <c r="F9" s="11">
        <v>1138983.8600000001</v>
      </c>
      <c r="G9" s="11">
        <v>50000</v>
      </c>
      <c r="H9" s="11">
        <f>F9+G9</f>
        <v>1188983.8600000001</v>
      </c>
      <c r="I9" s="11">
        <v>980166.6</v>
      </c>
      <c r="J9" s="11">
        <f t="shared" ref="J9:J15" si="2">I9-K9</f>
        <v>0</v>
      </c>
      <c r="K9" s="11">
        <v>980166.6</v>
      </c>
      <c r="L9" s="11">
        <f t="shared" ref="L9:L15" si="3">H9-I9</f>
        <v>208817.26000000013</v>
      </c>
    </row>
    <row r="10" spans="1:12" x14ac:dyDescent="0.25">
      <c r="A10" s="60" t="s">
        <v>67</v>
      </c>
      <c r="B10" s="87" t="s">
        <v>72</v>
      </c>
      <c r="C10" s="19" t="s">
        <v>73</v>
      </c>
      <c r="D10" s="8"/>
      <c r="E10" s="19"/>
      <c r="F10" s="11">
        <v>666169.28</v>
      </c>
      <c r="G10" s="11">
        <f>351880.07+132600+70000+30000+7142.36+40000+6000</f>
        <v>637622.43000000005</v>
      </c>
      <c r="H10" s="11">
        <f t="shared" ref="H10:H15" si="4">F10+G10</f>
        <v>1303791.71</v>
      </c>
      <c r="I10" s="11">
        <v>1054819.79</v>
      </c>
      <c r="J10" s="11">
        <f t="shared" si="2"/>
        <v>0</v>
      </c>
      <c r="K10" s="11">
        <v>1054819.79</v>
      </c>
      <c r="L10" s="11">
        <f t="shared" si="3"/>
        <v>248971.91999999993</v>
      </c>
    </row>
    <row r="11" spans="1:12" x14ac:dyDescent="0.25">
      <c r="B11" s="87" t="s">
        <v>74</v>
      </c>
      <c r="C11" s="22" t="s">
        <v>70</v>
      </c>
      <c r="D11" s="22"/>
      <c r="E11" s="22"/>
      <c r="F11" s="11">
        <v>0</v>
      </c>
      <c r="G11" s="11">
        <v>0</v>
      </c>
      <c r="H11" s="11">
        <f t="shared" si="4"/>
        <v>0</v>
      </c>
      <c r="I11" s="11">
        <v>22026.06</v>
      </c>
      <c r="J11" s="11">
        <f t="shared" si="2"/>
        <v>0</v>
      </c>
      <c r="K11" s="11">
        <v>22026.06</v>
      </c>
      <c r="L11" s="11">
        <f t="shared" si="3"/>
        <v>-22026.06</v>
      </c>
    </row>
    <row r="12" spans="1:12" x14ac:dyDescent="0.25">
      <c r="B12" s="87" t="s">
        <v>107</v>
      </c>
      <c r="C12" s="22" t="s">
        <v>108</v>
      </c>
      <c r="D12" s="22"/>
      <c r="E12" s="22"/>
      <c r="F12" s="11">
        <v>4000</v>
      </c>
      <c r="G12" s="11">
        <v>0</v>
      </c>
      <c r="H12" s="11">
        <f t="shared" si="4"/>
        <v>4000</v>
      </c>
      <c r="I12" s="11">
        <v>14548</v>
      </c>
      <c r="J12" s="11">
        <f t="shared" si="2"/>
        <v>0</v>
      </c>
      <c r="K12" s="11">
        <v>14548</v>
      </c>
      <c r="L12" s="11">
        <f t="shared" si="3"/>
        <v>-10548</v>
      </c>
    </row>
    <row r="13" spans="1:12" x14ac:dyDescent="0.25">
      <c r="B13" s="87" t="s">
        <v>12</v>
      </c>
      <c r="C13" s="19" t="s">
        <v>2</v>
      </c>
      <c r="D13" s="8"/>
      <c r="E13" s="19"/>
      <c r="F13" s="11">
        <v>611279.35</v>
      </c>
      <c r="G13" s="11">
        <v>0</v>
      </c>
      <c r="H13" s="11">
        <f t="shared" si="4"/>
        <v>611279.35</v>
      </c>
      <c r="I13" s="11">
        <v>695137.7</v>
      </c>
      <c r="J13" s="11">
        <f t="shared" si="2"/>
        <v>0</v>
      </c>
      <c r="K13" s="11">
        <v>695137.7</v>
      </c>
      <c r="L13" s="11">
        <f t="shared" si="3"/>
        <v>-83858.349999999977</v>
      </c>
    </row>
    <row r="14" spans="1:12" x14ac:dyDescent="0.25">
      <c r="B14" s="87" t="s">
        <v>13</v>
      </c>
      <c r="C14" s="22" t="s">
        <v>14</v>
      </c>
      <c r="D14" s="8"/>
      <c r="E14" s="22"/>
      <c r="F14" s="11">
        <v>6000</v>
      </c>
      <c r="G14" s="11">
        <v>0</v>
      </c>
      <c r="H14" s="11">
        <f t="shared" si="4"/>
        <v>6000</v>
      </c>
      <c r="I14" s="11">
        <v>2381.3000000000002</v>
      </c>
      <c r="J14" s="11">
        <f t="shared" si="2"/>
        <v>0</v>
      </c>
      <c r="K14" s="11">
        <v>2381.3000000000002</v>
      </c>
      <c r="L14" s="11">
        <f t="shared" si="3"/>
        <v>3618.7</v>
      </c>
    </row>
    <row r="15" spans="1:12" x14ac:dyDescent="0.25">
      <c r="B15" s="93" t="s">
        <v>75</v>
      </c>
      <c r="C15" s="19" t="s">
        <v>76</v>
      </c>
      <c r="D15" s="19"/>
      <c r="E15" s="19"/>
      <c r="F15" s="94">
        <v>66418.8</v>
      </c>
      <c r="G15" s="11">
        <v>0</v>
      </c>
      <c r="H15" s="11">
        <f t="shared" si="4"/>
        <v>66418.8</v>
      </c>
      <c r="I15" s="11">
        <v>75736.06</v>
      </c>
      <c r="J15" s="11">
        <f t="shared" si="2"/>
        <v>0</v>
      </c>
      <c r="K15" s="11">
        <v>75736.06</v>
      </c>
      <c r="L15" s="11">
        <f t="shared" si="3"/>
        <v>-9317.2599999999948</v>
      </c>
    </row>
    <row r="16" spans="1:12" x14ac:dyDescent="0.25">
      <c r="G16" s="4"/>
    </row>
    <row r="18" spans="1:6" x14ac:dyDescent="0.25">
      <c r="A18" s="2"/>
      <c r="B18" s="91"/>
      <c r="C18" s="2"/>
      <c r="D18" s="2"/>
      <c r="E18" s="2"/>
      <c r="F18" s="2"/>
    </row>
    <row r="19" spans="1:6" ht="21" x14ac:dyDescent="0.35">
      <c r="A19" s="2"/>
      <c r="B19" s="92"/>
      <c r="C19" s="2"/>
      <c r="D19" s="2"/>
      <c r="E19" s="2"/>
      <c r="F19" s="108"/>
    </row>
    <row r="20" spans="1:6" ht="21" x14ac:dyDescent="0.35">
      <c r="A20" s="2"/>
      <c r="B20" s="2"/>
      <c r="C20" s="2"/>
      <c r="D20" s="2"/>
      <c r="E20" s="2"/>
      <c r="F20" s="108"/>
    </row>
    <row r="21" spans="1:6" ht="21" x14ac:dyDescent="0.35">
      <c r="A21" s="2"/>
      <c r="B21" s="2"/>
      <c r="C21" s="2"/>
      <c r="D21" s="2"/>
      <c r="E21" s="2"/>
      <c r="F21" s="108"/>
    </row>
    <row r="22" spans="1:6" ht="21" x14ac:dyDescent="0.35">
      <c r="F22" s="108"/>
    </row>
    <row r="23" spans="1:6" ht="21" x14ac:dyDescent="0.35">
      <c r="F23" s="108"/>
    </row>
    <row r="24" spans="1:6" ht="21" x14ac:dyDescent="0.35">
      <c r="F24" s="108"/>
    </row>
    <row r="25" spans="1:6" ht="21" x14ac:dyDescent="0.35">
      <c r="D25" s="25"/>
      <c r="F25" s="108"/>
    </row>
    <row r="26" spans="1:6" ht="21" x14ac:dyDescent="0.35">
      <c r="F26" s="108"/>
    </row>
    <row r="27" spans="1:6" ht="21" x14ac:dyDescent="0.35">
      <c r="F27" s="108"/>
    </row>
    <row r="28" spans="1:6" x14ac:dyDescent="0.25">
      <c r="F28" s="7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&amp;CLiquidació pressupost 2021 IERMB _ 31-12-2021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35"/>
  <sheetViews>
    <sheetView showGridLines="0" view="pageLayout" topLeftCell="E6" zoomScaleNormal="100" zoomScaleSheetLayoutView="100" workbookViewId="0">
      <selection activeCell="J59" sqref="J59"/>
    </sheetView>
  </sheetViews>
  <sheetFormatPr baseColWidth="10" defaultRowHeight="15" x14ac:dyDescent="0.25"/>
  <cols>
    <col min="1" max="1" width="6.42578125" customWidth="1"/>
    <col min="2" max="2" width="10.7109375" customWidth="1"/>
    <col min="3" max="3" width="20.28515625" customWidth="1"/>
    <col min="4" max="4" width="12.42578125" customWidth="1"/>
    <col min="5" max="5" width="11.7109375" customWidth="1"/>
    <col min="6" max="6" width="16.28515625" customWidth="1"/>
    <col min="7" max="7" width="17.42578125" customWidth="1"/>
    <col min="8" max="8" width="16" customWidth="1"/>
    <col min="9" max="9" width="19.28515625" customWidth="1"/>
    <col min="10" max="10" width="16.5703125" customWidth="1"/>
    <col min="11" max="11" width="14" customWidth="1"/>
    <col min="12" max="12" width="17.28515625" customWidth="1"/>
    <col min="13" max="13" width="3.28515625" customWidth="1"/>
  </cols>
  <sheetData>
    <row r="2" spans="1:12" ht="15.75" thickBot="1" x14ac:dyDescent="0.3"/>
    <row r="3" spans="1:12" s="56" customFormat="1" ht="18" thickBot="1" x14ac:dyDescent="0.35">
      <c r="A3" s="42" t="s">
        <v>45</v>
      </c>
      <c r="B3" s="55"/>
      <c r="C3" s="55"/>
      <c r="D3" s="55"/>
      <c r="E3" s="55"/>
      <c r="F3" s="84">
        <f t="shared" ref="F3:L3" si="0">F7</f>
        <v>854123.05999999994</v>
      </c>
      <c r="G3" s="84">
        <f t="shared" si="0"/>
        <v>429513.2</v>
      </c>
      <c r="H3" s="84">
        <f t="shared" si="0"/>
        <v>1283636.26</v>
      </c>
      <c r="I3" s="84">
        <f t="shared" si="0"/>
        <v>1067259.71</v>
      </c>
      <c r="J3" s="84">
        <f t="shared" si="0"/>
        <v>338895.35</v>
      </c>
      <c r="K3" s="84">
        <f t="shared" si="0"/>
        <v>728364.36</v>
      </c>
      <c r="L3" s="84">
        <f t="shared" si="0"/>
        <v>216376.55000000005</v>
      </c>
    </row>
    <row r="4" spans="1:12" ht="15.75" thickBot="1" x14ac:dyDescent="0.3"/>
    <row r="5" spans="1:12" s="45" customFormat="1" ht="51" customHeight="1" thickBot="1" x14ac:dyDescent="0.3">
      <c r="A5" s="85" t="s">
        <v>64</v>
      </c>
      <c r="B5" s="57" t="s">
        <v>65</v>
      </c>
      <c r="C5" s="88"/>
      <c r="D5" s="89" t="s">
        <v>3</v>
      </c>
      <c r="E5" s="90"/>
      <c r="F5" s="75" t="s">
        <v>82</v>
      </c>
      <c r="G5" s="97" t="s">
        <v>126</v>
      </c>
      <c r="H5" s="97" t="s">
        <v>127</v>
      </c>
      <c r="I5" s="117" t="s">
        <v>193</v>
      </c>
      <c r="J5" s="118" t="s">
        <v>131</v>
      </c>
      <c r="K5" s="119" t="s">
        <v>132</v>
      </c>
      <c r="L5" s="120" t="s">
        <v>130</v>
      </c>
    </row>
    <row r="7" spans="1:12" ht="15.75" thickBot="1" x14ac:dyDescent="0.3">
      <c r="A7" s="58">
        <v>462</v>
      </c>
      <c r="B7" s="46">
        <v>2</v>
      </c>
      <c r="C7" s="61" t="s">
        <v>90</v>
      </c>
      <c r="D7" s="48"/>
      <c r="E7" s="59"/>
      <c r="F7" s="49">
        <f>SUM(F8:F30)</f>
        <v>854123.05999999994</v>
      </c>
      <c r="G7" s="49">
        <f t="shared" ref="G7" si="1">SUM(G8:G30)</f>
        <v>429513.2</v>
      </c>
      <c r="H7" s="49">
        <f>SUM(H8:H30)</f>
        <v>1283636.26</v>
      </c>
      <c r="I7" s="49">
        <f t="shared" ref="I7:L7" si="2">SUM(I8:I30)</f>
        <v>1067259.71</v>
      </c>
      <c r="J7" s="49">
        <f t="shared" si="2"/>
        <v>338895.35</v>
      </c>
      <c r="K7" s="49">
        <f t="shared" si="2"/>
        <v>728364.36</v>
      </c>
      <c r="L7" s="49">
        <f t="shared" si="2"/>
        <v>216376.55000000005</v>
      </c>
    </row>
    <row r="8" spans="1:12" ht="15.75" thickTop="1" x14ac:dyDescent="0.25">
      <c r="A8" s="60" t="s">
        <v>66</v>
      </c>
      <c r="B8" s="87" t="s">
        <v>16</v>
      </c>
      <c r="C8" s="8" t="s">
        <v>91</v>
      </c>
      <c r="D8" s="8"/>
      <c r="E8" s="8"/>
      <c r="F8" s="11">
        <v>26000</v>
      </c>
      <c r="G8" s="11">
        <f>27605.94</f>
        <v>27605.94</v>
      </c>
      <c r="H8" s="11">
        <f>F8+G8</f>
        <v>53605.94</v>
      </c>
      <c r="I8" s="11">
        <v>57249.06</v>
      </c>
      <c r="J8" s="11">
        <f>I8-K8</f>
        <v>0</v>
      </c>
      <c r="K8" s="11">
        <v>57249.06</v>
      </c>
      <c r="L8" s="11">
        <f>H8-I8</f>
        <v>-3643.1199999999953</v>
      </c>
    </row>
    <row r="9" spans="1:12" x14ac:dyDescent="0.25">
      <c r="A9" s="60" t="s">
        <v>84</v>
      </c>
      <c r="B9" s="87" t="s">
        <v>17</v>
      </c>
      <c r="C9" s="8" t="s">
        <v>15</v>
      </c>
      <c r="D9" s="8"/>
      <c r="E9" s="8"/>
      <c r="F9" s="11">
        <v>2000</v>
      </c>
      <c r="G9" s="11">
        <v>0</v>
      </c>
      <c r="H9" s="11">
        <f t="shared" ref="H9:H30" si="3">F9+G9</f>
        <v>2000</v>
      </c>
      <c r="I9" s="11">
        <v>1486</v>
      </c>
      <c r="J9" s="11">
        <f t="shared" ref="J9" si="4">I9-K9</f>
        <v>0</v>
      </c>
      <c r="K9" s="11">
        <v>1486</v>
      </c>
      <c r="L9" s="11">
        <f t="shared" ref="L9" si="5">H9-I9</f>
        <v>514</v>
      </c>
    </row>
    <row r="10" spans="1:12" x14ac:dyDescent="0.25">
      <c r="A10" s="60"/>
      <c r="B10" s="87" t="s">
        <v>144</v>
      </c>
      <c r="C10" s="8" t="s">
        <v>145</v>
      </c>
      <c r="E10" s="8"/>
      <c r="F10" s="11">
        <v>0</v>
      </c>
      <c r="G10" s="11">
        <v>0</v>
      </c>
      <c r="H10" s="11">
        <f t="shared" si="3"/>
        <v>0</v>
      </c>
      <c r="I10" s="11">
        <v>0</v>
      </c>
      <c r="J10" s="11">
        <f t="shared" ref="J10:J30" si="6">I10-K10</f>
        <v>0</v>
      </c>
      <c r="K10" s="11">
        <v>0</v>
      </c>
      <c r="L10" s="11">
        <f t="shared" ref="L10" si="7">H10-I10</f>
        <v>0</v>
      </c>
    </row>
    <row r="11" spans="1:12" x14ac:dyDescent="0.25">
      <c r="A11" s="21" t="s">
        <v>67</v>
      </c>
      <c r="B11" s="87" t="s">
        <v>109</v>
      </c>
      <c r="C11" s="8" t="s">
        <v>110</v>
      </c>
      <c r="D11" s="8"/>
      <c r="E11" s="8"/>
      <c r="F11" s="11">
        <v>500</v>
      </c>
      <c r="G11" s="11">
        <v>0</v>
      </c>
      <c r="H11" s="11">
        <f t="shared" si="3"/>
        <v>500</v>
      </c>
      <c r="I11" s="11">
        <v>660.64</v>
      </c>
      <c r="J11" s="11">
        <f t="shared" si="6"/>
        <v>517.03</v>
      </c>
      <c r="K11" s="11">
        <v>143.61000000000001</v>
      </c>
      <c r="L11" s="11">
        <f>H11-I11</f>
        <v>-160.63999999999999</v>
      </c>
    </row>
    <row r="12" spans="1:12" x14ac:dyDescent="0.25">
      <c r="A12" s="21"/>
      <c r="B12" s="87" t="s">
        <v>119</v>
      </c>
      <c r="C12" s="8" t="s">
        <v>120</v>
      </c>
      <c r="D12" s="8"/>
      <c r="E12" s="8"/>
      <c r="F12" s="11">
        <v>5750</v>
      </c>
      <c r="G12" s="11">
        <v>0</v>
      </c>
      <c r="H12" s="11">
        <f t="shared" si="3"/>
        <v>5750</v>
      </c>
      <c r="I12" s="11">
        <v>19784.7</v>
      </c>
      <c r="J12" s="11">
        <f t="shared" si="6"/>
        <v>1363.4300000000003</v>
      </c>
      <c r="K12" s="11">
        <v>18421.27</v>
      </c>
      <c r="L12" s="11">
        <f t="shared" ref="L12:L30" si="8">H12-I12</f>
        <v>-14034.7</v>
      </c>
    </row>
    <row r="13" spans="1:12" x14ac:dyDescent="0.25">
      <c r="B13" s="87" t="s">
        <v>21</v>
      </c>
      <c r="C13" s="8" t="s">
        <v>20</v>
      </c>
      <c r="D13" s="8"/>
      <c r="E13" s="8"/>
      <c r="F13" s="11">
        <v>8050</v>
      </c>
      <c r="G13" s="11">
        <v>0</v>
      </c>
      <c r="H13" s="11">
        <f t="shared" si="3"/>
        <v>8050</v>
      </c>
      <c r="I13" s="11">
        <v>5444.42</v>
      </c>
      <c r="J13" s="11">
        <f t="shared" si="6"/>
        <v>333.72000000000025</v>
      </c>
      <c r="K13" s="11">
        <v>5110.7</v>
      </c>
      <c r="L13" s="11">
        <f t="shared" si="8"/>
        <v>2605.58</v>
      </c>
    </row>
    <row r="14" spans="1:12" x14ac:dyDescent="0.25">
      <c r="B14" s="87" t="s">
        <v>79</v>
      </c>
      <c r="C14" s="8" t="s">
        <v>80</v>
      </c>
      <c r="D14" s="8"/>
      <c r="E14" s="8"/>
      <c r="F14" s="11">
        <v>1250</v>
      </c>
      <c r="G14" s="11">
        <v>0</v>
      </c>
      <c r="H14" s="11">
        <f t="shared" si="3"/>
        <v>1250</v>
      </c>
      <c r="I14" s="11">
        <v>447.26</v>
      </c>
      <c r="J14" s="11">
        <f t="shared" si="6"/>
        <v>0</v>
      </c>
      <c r="K14" s="11">
        <v>447.26</v>
      </c>
      <c r="L14" s="11">
        <f t="shared" si="8"/>
        <v>802.74</v>
      </c>
    </row>
    <row r="15" spans="1:12" x14ac:dyDescent="0.25">
      <c r="B15" s="87" t="s">
        <v>18</v>
      </c>
      <c r="C15" s="8" t="s">
        <v>19</v>
      </c>
      <c r="D15" s="8"/>
      <c r="E15" s="8"/>
      <c r="F15" s="11">
        <v>15500</v>
      </c>
      <c r="G15" s="11">
        <v>1702.47</v>
      </c>
      <c r="H15" s="11">
        <f t="shared" si="3"/>
        <v>17202.47</v>
      </c>
      <c r="I15" s="11">
        <v>32664.86</v>
      </c>
      <c r="J15" s="11">
        <f t="shared" si="6"/>
        <v>1063.9500000000007</v>
      </c>
      <c r="K15" s="11">
        <v>31600.91</v>
      </c>
      <c r="L15" s="11">
        <f t="shared" si="8"/>
        <v>-15462.39</v>
      </c>
    </row>
    <row r="16" spans="1:12" x14ac:dyDescent="0.25">
      <c r="B16" s="87" t="s">
        <v>37</v>
      </c>
      <c r="C16" s="8" t="s">
        <v>92</v>
      </c>
      <c r="D16" s="8"/>
      <c r="E16" s="8"/>
      <c r="F16" s="11">
        <v>6250</v>
      </c>
      <c r="G16" s="11">
        <v>0</v>
      </c>
      <c r="H16" s="11">
        <f t="shared" si="3"/>
        <v>6250</v>
      </c>
      <c r="I16" s="11">
        <v>6720.74</v>
      </c>
      <c r="J16" s="11">
        <f t="shared" si="6"/>
        <v>269.89999999999964</v>
      </c>
      <c r="K16" s="11">
        <v>6450.84</v>
      </c>
      <c r="L16" s="11">
        <f t="shared" si="8"/>
        <v>-470.73999999999978</v>
      </c>
    </row>
    <row r="17" spans="2:12" x14ac:dyDescent="0.25">
      <c r="B17" s="87" t="s">
        <v>10</v>
      </c>
      <c r="C17" s="7" t="s">
        <v>9</v>
      </c>
      <c r="D17" s="8"/>
      <c r="E17" s="8"/>
      <c r="F17" s="11">
        <v>1497.6</v>
      </c>
      <c r="G17" s="11">
        <v>0</v>
      </c>
      <c r="H17" s="11">
        <f t="shared" si="3"/>
        <v>1497.6</v>
      </c>
      <c r="I17" s="11">
        <v>1487.29</v>
      </c>
      <c r="J17" s="11">
        <f t="shared" si="6"/>
        <v>122.63999999999987</v>
      </c>
      <c r="K17" s="11">
        <v>1364.65</v>
      </c>
      <c r="L17" s="11">
        <f t="shared" si="8"/>
        <v>10.309999999999945</v>
      </c>
    </row>
    <row r="18" spans="2:12" x14ac:dyDescent="0.25">
      <c r="B18" s="87" t="s">
        <v>22</v>
      </c>
      <c r="C18" s="7" t="s">
        <v>93</v>
      </c>
      <c r="D18" s="8"/>
      <c r="E18" s="8"/>
      <c r="F18" s="11">
        <v>2250</v>
      </c>
      <c r="G18" s="11">
        <v>0</v>
      </c>
      <c r="H18" s="11">
        <f t="shared" si="3"/>
        <v>2250</v>
      </c>
      <c r="I18" s="11">
        <v>2180.23</v>
      </c>
      <c r="J18" s="11">
        <f t="shared" si="6"/>
        <v>0</v>
      </c>
      <c r="K18" s="11">
        <v>2180.23</v>
      </c>
      <c r="L18" s="11">
        <f t="shared" si="8"/>
        <v>69.769999999999982</v>
      </c>
    </row>
    <row r="19" spans="2:12" x14ac:dyDescent="0.25">
      <c r="B19" s="87" t="s">
        <v>31</v>
      </c>
      <c r="C19" s="8" t="s">
        <v>32</v>
      </c>
      <c r="D19" s="8"/>
      <c r="E19" s="8"/>
      <c r="F19" s="11">
        <v>6650</v>
      </c>
      <c r="G19" s="11">
        <v>0</v>
      </c>
      <c r="H19" s="11">
        <f t="shared" si="3"/>
        <v>6650</v>
      </c>
      <c r="I19" s="11">
        <v>12471.92</v>
      </c>
      <c r="J19" s="11">
        <f t="shared" si="6"/>
        <v>832.65999999999985</v>
      </c>
      <c r="K19" s="11">
        <v>11639.26</v>
      </c>
      <c r="L19" s="11">
        <f t="shared" si="8"/>
        <v>-5821.92</v>
      </c>
    </row>
    <row r="20" spans="2:12" ht="15.75" customHeight="1" x14ac:dyDescent="0.25">
      <c r="B20" s="87" t="s">
        <v>23</v>
      </c>
      <c r="C20" s="7" t="s">
        <v>94</v>
      </c>
      <c r="D20" s="8"/>
      <c r="E20" s="8"/>
      <c r="F20" s="11">
        <v>0</v>
      </c>
      <c r="G20" s="11">
        <v>0</v>
      </c>
      <c r="H20" s="11">
        <f t="shared" si="3"/>
        <v>0</v>
      </c>
      <c r="I20" s="11">
        <v>0</v>
      </c>
      <c r="J20" s="11">
        <f t="shared" si="6"/>
        <v>0</v>
      </c>
      <c r="K20" s="11">
        <v>0</v>
      </c>
      <c r="L20" s="11">
        <f t="shared" si="8"/>
        <v>0</v>
      </c>
    </row>
    <row r="21" spans="2:12" x14ac:dyDescent="0.25">
      <c r="B21" s="87" t="s">
        <v>39</v>
      </c>
      <c r="C21" s="8" t="s">
        <v>38</v>
      </c>
      <c r="D21" s="8"/>
      <c r="E21" s="8"/>
      <c r="F21" s="11">
        <v>5350</v>
      </c>
      <c r="G21" s="11">
        <v>23400</v>
      </c>
      <c r="H21" s="11">
        <f t="shared" si="3"/>
        <v>28750</v>
      </c>
      <c r="I21" s="11">
        <v>7192.53</v>
      </c>
      <c r="J21" s="11">
        <f t="shared" si="6"/>
        <v>415.59999999999945</v>
      </c>
      <c r="K21" s="11">
        <v>6776.93</v>
      </c>
      <c r="L21" s="11">
        <f t="shared" si="8"/>
        <v>21557.47</v>
      </c>
    </row>
    <row r="22" spans="2:12" x14ac:dyDescent="0.25">
      <c r="B22" s="87" t="s">
        <v>161</v>
      </c>
      <c r="C22" s="8" t="s">
        <v>162</v>
      </c>
      <c r="D22" s="8"/>
      <c r="E22" s="8"/>
      <c r="F22" s="11">
        <v>0</v>
      </c>
      <c r="G22" s="11">
        <v>0</v>
      </c>
      <c r="H22" s="11">
        <f t="shared" si="3"/>
        <v>0</v>
      </c>
      <c r="I22" s="11">
        <v>2008.61</v>
      </c>
      <c r="J22" s="11">
        <f t="shared" si="6"/>
        <v>417.44999999999982</v>
      </c>
      <c r="K22" s="11">
        <v>1591.16</v>
      </c>
      <c r="L22" s="11">
        <f t="shared" si="8"/>
        <v>-2008.61</v>
      </c>
    </row>
    <row r="23" spans="2:12" ht="15.75" customHeight="1" x14ac:dyDescent="0.25">
      <c r="B23" s="87" t="s">
        <v>51</v>
      </c>
      <c r="C23" s="8" t="s">
        <v>52</v>
      </c>
      <c r="D23" s="8"/>
      <c r="E23" s="8"/>
      <c r="F23" s="11">
        <v>5435.47</v>
      </c>
      <c r="G23" s="11">
        <v>-1250</v>
      </c>
      <c r="H23" s="11">
        <f t="shared" si="3"/>
        <v>4185.47</v>
      </c>
      <c r="I23" s="11">
        <v>658.01</v>
      </c>
      <c r="J23" s="11">
        <f t="shared" si="6"/>
        <v>226.59999999999997</v>
      </c>
      <c r="K23" s="11">
        <v>431.41</v>
      </c>
      <c r="L23" s="11">
        <f t="shared" si="8"/>
        <v>3527.46</v>
      </c>
    </row>
    <row r="24" spans="2:12" ht="15.75" customHeight="1" x14ac:dyDescent="0.25">
      <c r="B24" s="95" t="s">
        <v>24</v>
      </c>
      <c r="C24" s="20" t="s">
        <v>112</v>
      </c>
      <c r="D24" s="8"/>
      <c r="E24" s="20"/>
      <c r="F24" s="11">
        <v>683769.4</v>
      </c>
      <c r="G24" s="11">
        <v>357501.12</v>
      </c>
      <c r="H24" s="11">
        <f>F24+G24</f>
        <v>1041270.52</v>
      </c>
      <c r="I24" s="11">
        <v>811646.98</v>
      </c>
      <c r="J24" s="11">
        <f t="shared" si="6"/>
        <v>294933.21999999997</v>
      </c>
      <c r="K24" s="11">
        <v>516713.76</v>
      </c>
      <c r="L24" s="11">
        <f t="shared" si="8"/>
        <v>229623.54000000004</v>
      </c>
    </row>
    <row r="25" spans="2:12" x14ac:dyDescent="0.25">
      <c r="B25" s="87" t="s">
        <v>27</v>
      </c>
      <c r="C25" s="7" t="s">
        <v>113</v>
      </c>
      <c r="D25" s="8"/>
      <c r="E25" s="8"/>
      <c r="F25" s="11">
        <v>46820.59</v>
      </c>
      <c r="G25" s="11">
        <v>1210</v>
      </c>
      <c r="H25" s="11">
        <f t="shared" si="3"/>
        <v>48030.59</v>
      </c>
      <c r="I25" s="11">
        <v>68950.820000000007</v>
      </c>
      <c r="J25" s="11">
        <f t="shared" si="6"/>
        <v>35833.950000000004</v>
      </c>
      <c r="K25" s="11">
        <v>33116.870000000003</v>
      </c>
      <c r="L25" s="11">
        <f t="shared" si="8"/>
        <v>-20920.23000000001</v>
      </c>
    </row>
    <row r="26" spans="2:12" x14ac:dyDescent="0.25">
      <c r="B26" s="87" t="s">
        <v>35</v>
      </c>
      <c r="C26" s="8" t="s">
        <v>25</v>
      </c>
      <c r="D26" s="8"/>
      <c r="E26" s="8"/>
      <c r="F26" s="11">
        <v>250</v>
      </c>
      <c r="G26" s="11">
        <v>0</v>
      </c>
      <c r="H26" s="11">
        <f t="shared" si="3"/>
        <v>250</v>
      </c>
      <c r="I26" s="11">
        <v>93.6</v>
      </c>
      <c r="J26" s="11">
        <f t="shared" si="6"/>
        <v>0</v>
      </c>
      <c r="K26" s="11">
        <v>93.6</v>
      </c>
      <c r="L26" s="11">
        <f t="shared" si="8"/>
        <v>156.4</v>
      </c>
    </row>
    <row r="27" spans="2:12" x14ac:dyDescent="0.25">
      <c r="B27" s="87" t="s">
        <v>36</v>
      </c>
      <c r="C27" s="8" t="s">
        <v>26</v>
      </c>
      <c r="D27" s="8"/>
      <c r="E27" s="8"/>
      <c r="F27" s="11">
        <v>3050</v>
      </c>
      <c r="G27" s="11">
        <v>0</v>
      </c>
      <c r="H27" s="11">
        <f t="shared" si="3"/>
        <v>3050</v>
      </c>
      <c r="I27" s="11">
        <v>369.39</v>
      </c>
      <c r="J27" s="11">
        <f t="shared" si="6"/>
        <v>0</v>
      </c>
      <c r="K27" s="11">
        <v>369.39</v>
      </c>
      <c r="L27" s="11">
        <f t="shared" si="8"/>
        <v>2680.61</v>
      </c>
    </row>
    <row r="28" spans="2:12" x14ac:dyDescent="0.25">
      <c r="B28" s="87" t="s">
        <v>33</v>
      </c>
      <c r="C28" s="8" t="s">
        <v>29</v>
      </c>
      <c r="D28" s="8"/>
      <c r="E28" s="8"/>
      <c r="F28" s="11">
        <v>250</v>
      </c>
      <c r="G28" s="11">
        <v>0</v>
      </c>
      <c r="H28" s="11">
        <f t="shared" si="3"/>
        <v>250</v>
      </c>
      <c r="I28" s="11">
        <v>11.35</v>
      </c>
      <c r="J28" s="11">
        <f t="shared" si="6"/>
        <v>0</v>
      </c>
      <c r="K28" s="11">
        <v>11.35</v>
      </c>
      <c r="L28" s="11">
        <f t="shared" si="8"/>
        <v>238.65</v>
      </c>
    </row>
    <row r="29" spans="2:12" x14ac:dyDescent="0.25">
      <c r="B29" s="87" t="s">
        <v>34</v>
      </c>
      <c r="C29" s="8" t="s">
        <v>30</v>
      </c>
      <c r="D29" s="8"/>
      <c r="E29" s="8"/>
      <c r="F29" s="11">
        <v>6500</v>
      </c>
      <c r="G29" s="11">
        <v>0</v>
      </c>
      <c r="H29" s="11">
        <f t="shared" si="3"/>
        <v>6500</v>
      </c>
      <c r="I29" s="11">
        <v>680.36</v>
      </c>
      <c r="J29" s="11">
        <f t="shared" si="6"/>
        <v>0</v>
      </c>
      <c r="K29" s="11">
        <v>680.36</v>
      </c>
      <c r="L29" s="11">
        <f t="shared" si="8"/>
        <v>5819.64</v>
      </c>
    </row>
    <row r="30" spans="2:12" x14ac:dyDescent="0.25">
      <c r="B30" s="86" t="s">
        <v>28</v>
      </c>
      <c r="C30" s="9" t="s">
        <v>114</v>
      </c>
      <c r="D30" s="9"/>
      <c r="E30" s="9"/>
      <c r="F30" s="11">
        <v>27000</v>
      </c>
      <c r="G30" s="11">
        <f>19343.67</f>
        <v>19343.669999999998</v>
      </c>
      <c r="H30" s="11">
        <f t="shared" si="3"/>
        <v>46343.67</v>
      </c>
      <c r="I30" s="11">
        <v>35050.94</v>
      </c>
      <c r="J30" s="11">
        <f t="shared" si="6"/>
        <v>2565.2000000000007</v>
      </c>
      <c r="K30" s="11">
        <v>32485.74</v>
      </c>
      <c r="L30" s="11">
        <f t="shared" si="8"/>
        <v>11292.729999999996</v>
      </c>
    </row>
    <row r="32" spans="2:12" ht="14.25" customHeight="1" x14ac:dyDescent="0.25"/>
    <row r="33" spans="2:4" ht="15" customHeight="1" x14ac:dyDescent="0.25">
      <c r="B33" s="107"/>
    </row>
    <row r="34" spans="2:4" ht="15" customHeight="1" x14ac:dyDescent="0.25">
      <c r="B34" s="107"/>
    </row>
    <row r="35" spans="2:4" ht="15" customHeight="1" x14ac:dyDescent="0.25">
      <c r="B35" s="107"/>
      <c r="C35" s="102"/>
      <c r="D35" s="10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&amp;CLiquidació pressupost 2021 IERMB _ 31-12-2021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33"/>
  <sheetViews>
    <sheetView showGridLines="0" view="pageLayout" topLeftCell="A21" zoomScale="98" zoomScaleNormal="100" zoomScalePageLayoutView="98" workbookViewId="0">
      <selection activeCell="J59" sqref="J59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28515625" customWidth="1"/>
    <col min="5" max="5" width="21.42578125" customWidth="1"/>
    <col min="6" max="6" width="13.42578125" customWidth="1"/>
    <col min="7" max="7" width="16.28515625" customWidth="1"/>
    <col min="8" max="8" width="15.28515625" customWidth="1"/>
    <col min="9" max="9" width="16.42578125" customWidth="1"/>
    <col min="10" max="10" width="14.42578125" customWidth="1"/>
    <col min="11" max="11" width="15" customWidth="1"/>
    <col min="12" max="12" width="14.5703125" customWidth="1"/>
  </cols>
  <sheetData>
    <row r="2" spans="1:12" ht="15.75" thickBot="1" x14ac:dyDescent="0.3"/>
    <row r="3" spans="1:12" s="17" customFormat="1" ht="18" thickBot="1" x14ac:dyDescent="0.35">
      <c r="A3" s="42" t="s">
        <v>46</v>
      </c>
      <c r="B3" s="43"/>
      <c r="C3" s="43"/>
      <c r="D3" s="43"/>
      <c r="E3" s="43"/>
      <c r="F3" s="84">
        <f t="shared" ref="F3:H3" si="0">F7</f>
        <v>430</v>
      </c>
      <c r="G3" s="84">
        <f t="shared" si="0"/>
        <v>1250</v>
      </c>
      <c r="H3" s="84">
        <f t="shared" si="0"/>
        <v>1680</v>
      </c>
      <c r="I3" s="84">
        <f t="shared" ref="I3:L3" si="1">I7</f>
        <v>1210.3499999999999</v>
      </c>
      <c r="J3" s="84">
        <f t="shared" si="1"/>
        <v>0</v>
      </c>
      <c r="K3" s="84">
        <f t="shared" si="1"/>
        <v>1210.3499999999999</v>
      </c>
      <c r="L3" s="84">
        <f t="shared" si="1"/>
        <v>469.65000000000009</v>
      </c>
    </row>
    <row r="4" spans="1:12" ht="15.75" thickBot="1" x14ac:dyDescent="0.3"/>
    <row r="5" spans="1:12" s="45" customFormat="1" ht="45.75" thickBot="1" x14ac:dyDescent="0.3">
      <c r="A5" s="85" t="s">
        <v>64</v>
      </c>
      <c r="B5" s="57" t="s">
        <v>65</v>
      </c>
      <c r="C5" s="88"/>
      <c r="D5" s="89" t="s">
        <v>3</v>
      </c>
      <c r="E5" s="90"/>
      <c r="F5" s="75" t="s">
        <v>82</v>
      </c>
      <c r="G5" s="133" t="s">
        <v>126</v>
      </c>
      <c r="H5" s="97" t="s">
        <v>127</v>
      </c>
      <c r="I5" s="117" t="s">
        <v>193</v>
      </c>
      <c r="J5" s="118" t="s">
        <v>131</v>
      </c>
      <c r="K5" s="119" t="s">
        <v>132</v>
      </c>
      <c r="L5" s="120" t="s">
        <v>130</v>
      </c>
    </row>
    <row r="7" spans="1:12" ht="15.75" thickBot="1" x14ac:dyDescent="0.3">
      <c r="A7" s="58">
        <v>462</v>
      </c>
      <c r="B7" s="46">
        <v>3</v>
      </c>
      <c r="C7" s="47" t="s">
        <v>59</v>
      </c>
      <c r="D7" s="48"/>
      <c r="E7" s="59"/>
      <c r="F7" s="49">
        <f>SUM(F8:F11)</f>
        <v>430</v>
      </c>
      <c r="G7" s="49">
        <f>SUM(G8:G11)</f>
        <v>1250</v>
      </c>
      <c r="H7" s="49">
        <f>SUM(H8:H11)</f>
        <v>1680</v>
      </c>
      <c r="I7" s="49">
        <f t="shared" ref="I7:L7" si="2">SUM(I8:I11)</f>
        <v>1210.3499999999999</v>
      </c>
      <c r="J7" s="49">
        <f t="shared" si="2"/>
        <v>0</v>
      </c>
      <c r="K7" s="49">
        <f t="shared" si="2"/>
        <v>1210.3499999999999</v>
      </c>
      <c r="L7" s="49">
        <f t="shared" si="2"/>
        <v>469.65000000000009</v>
      </c>
    </row>
    <row r="8" spans="1:12" ht="15.75" thickTop="1" x14ac:dyDescent="0.25">
      <c r="A8" s="60" t="s">
        <v>66</v>
      </c>
      <c r="B8" s="87" t="s">
        <v>68</v>
      </c>
      <c r="C8" s="8" t="s">
        <v>95</v>
      </c>
      <c r="D8" s="8"/>
      <c r="E8" s="8"/>
      <c r="F8" s="18">
        <v>50</v>
      </c>
      <c r="G8" s="139">
        <v>0</v>
      </c>
      <c r="H8" s="18">
        <f t="shared" ref="H8:H9" si="3">F8+G8</f>
        <v>50</v>
      </c>
      <c r="I8" s="11">
        <v>0</v>
      </c>
      <c r="J8" s="11">
        <f>I8-K8</f>
        <v>0</v>
      </c>
      <c r="K8" s="11">
        <v>0</v>
      </c>
      <c r="L8" s="11">
        <f>H8-I8</f>
        <v>50</v>
      </c>
    </row>
    <row r="9" spans="1:12" x14ac:dyDescent="0.25">
      <c r="A9" s="60" t="s">
        <v>84</v>
      </c>
      <c r="B9" s="87">
        <v>35900</v>
      </c>
      <c r="C9" s="8" t="s">
        <v>69</v>
      </c>
      <c r="D9" s="8"/>
      <c r="E9" s="8"/>
      <c r="F9" s="62">
        <v>380</v>
      </c>
      <c r="G9" s="139">
        <v>1250</v>
      </c>
      <c r="H9" s="18">
        <f t="shared" si="3"/>
        <v>1630</v>
      </c>
      <c r="I9" s="11">
        <v>1210.3499999999999</v>
      </c>
      <c r="J9" s="11">
        <f>I9-K9</f>
        <v>0</v>
      </c>
      <c r="K9" s="11">
        <v>1210.3499999999999</v>
      </c>
      <c r="L9" s="11">
        <f>H9-I9</f>
        <v>419.65000000000009</v>
      </c>
    </row>
    <row r="10" spans="1:12" x14ac:dyDescent="0.25">
      <c r="A10" s="21" t="s">
        <v>67</v>
      </c>
      <c r="B10" s="109"/>
      <c r="C10" s="110"/>
      <c r="D10" s="110"/>
      <c r="E10" s="110"/>
      <c r="F10" s="111"/>
      <c r="G10" s="111"/>
      <c r="H10" s="111"/>
    </row>
    <row r="11" spans="1:12" x14ac:dyDescent="0.25">
      <c r="B11" s="4"/>
      <c r="C11" s="4"/>
      <c r="D11" s="4"/>
      <c r="E11" s="4"/>
      <c r="F11" s="4"/>
      <c r="G11" s="4"/>
      <c r="H11" s="4"/>
    </row>
    <row r="12" spans="1:12" ht="15.75" thickBot="1" x14ac:dyDescent="0.3"/>
    <row r="13" spans="1:12" ht="18" thickBot="1" x14ac:dyDescent="0.35">
      <c r="A13" s="42" t="s">
        <v>139</v>
      </c>
      <c r="B13" s="43"/>
      <c r="C13" s="43"/>
      <c r="D13" s="43"/>
      <c r="E13" s="131"/>
      <c r="F13" s="84">
        <f t="shared" ref="F13:H13" si="4">F17</f>
        <v>0</v>
      </c>
      <c r="G13" s="84">
        <f t="shared" si="4"/>
        <v>58485</v>
      </c>
      <c r="H13" s="84">
        <f t="shared" si="4"/>
        <v>58485</v>
      </c>
      <c r="I13" s="84">
        <f t="shared" ref="I13:L13" si="5">I17</f>
        <v>58485</v>
      </c>
      <c r="J13" s="84">
        <f t="shared" si="5"/>
        <v>0</v>
      </c>
      <c r="K13" s="84">
        <f t="shared" si="5"/>
        <v>58485</v>
      </c>
      <c r="L13" s="84">
        <f t="shared" si="5"/>
        <v>0</v>
      </c>
    </row>
    <row r="14" spans="1:12" ht="15" customHeight="1" thickBot="1" x14ac:dyDescent="0.3"/>
    <row r="15" spans="1:12" ht="45.75" thickBot="1" x14ac:dyDescent="0.3">
      <c r="A15" s="85" t="s">
        <v>64</v>
      </c>
      <c r="B15" s="57" t="s">
        <v>65</v>
      </c>
      <c r="C15" s="88"/>
      <c r="D15" s="89" t="s">
        <v>3</v>
      </c>
      <c r="E15" s="132"/>
      <c r="F15" s="75" t="s">
        <v>82</v>
      </c>
      <c r="G15" s="133" t="s">
        <v>126</v>
      </c>
      <c r="H15" s="97" t="s">
        <v>127</v>
      </c>
      <c r="I15" s="117" t="s">
        <v>193</v>
      </c>
      <c r="J15" s="118" t="s">
        <v>131</v>
      </c>
      <c r="K15" s="119" t="s">
        <v>132</v>
      </c>
      <c r="L15" s="120" t="s">
        <v>130</v>
      </c>
    </row>
    <row r="17" spans="1:12" ht="15.75" thickBot="1" x14ac:dyDescent="0.3">
      <c r="A17" s="58">
        <v>462</v>
      </c>
      <c r="B17" s="46">
        <v>4</v>
      </c>
      <c r="C17" s="47" t="s">
        <v>134</v>
      </c>
      <c r="D17" s="48"/>
      <c r="E17" s="49"/>
      <c r="F17" s="49">
        <f>SUM(F18:F19)</f>
        <v>0</v>
      </c>
      <c r="G17" s="49">
        <f t="shared" ref="G17:L17" si="6">SUM(G18:G19)</f>
        <v>58485</v>
      </c>
      <c r="H17" s="49">
        <f t="shared" si="6"/>
        <v>58485</v>
      </c>
      <c r="I17" s="49">
        <f t="shared" si="6"/>
        <v>58485</v>
      </c>
      <c r="J17" s="49">
        <f t="shared" si="6"/>
        <v>0</v>
      </c>
      <c r="K17" s="49">
        <f t="shared" si="6"/>
        <v>58485</v>
      </c>
      <c r="L17" s="49">
        <f t="shared" si="6"/>
        <v>0</v>
      </c>
    </row>
    <row r="18" spans="1:12" ht="15.75" thickTop="1" x14ac:dyDescent="0.25">
      <c r="A18" s="60" t="s">
        <v>66</v>
      </c>
      <c r="B18" s="87" t="s">
        <v>159</v>
      </c>
      <c r="C18" s="8" t="s">
        <v>160</v>
      </c>
      <c r="D18" s="8"/>
      <c r="E18" s="18"/>
      <c r="F18" s="18">
        <v>0</v>
      </c>
      <c r="G18" s="139">
        <v>10890</v>
      </c>
      <c r="H18" s="11">
        <f>F18+G18</f>
        <v>10890</v>
      </c>
      <c r="I18" s="11">
        <v>10890</v>
      </c>
      <c r="J18" s="11">
        <f>I18-K18</f>
        <v>0</v>
      </c>
      <c r="K18" s="11">
        <v>10890</v>
      </c>
      <c r="L18" s="11">
        <f>H18-I18</f>
        <v>0</v>
      </c>
    </row>
    <row r="19" spans="1:12" x14ac:dyDescent="0.25">
      <c r="A19" s="60" t="s">
        <v>84</v>
      </c>
      <c r="B19" s="87" t="s">
        <v>140</v>
      </c>
      <c r="C19" s="8" t="s">
        <v>141</v>
      </c>
      <c r="D19" s="8"/>
      <c r="E19" s="18"/>
      <c r="F19" s="18">
        <v>0</v>
      </c>
      <c r="G19" s="139">
        <f>36595+11000</f>
        <v>47595</v>
      </c>
      <c r="H19" s="11">
        <f>F19+G19</f>
        <v>47595</v>
      </c>
      <c r="I19" s="11">
        <v>47595</v>
      </c>
      <c r="J19" s="11">
        <f>I19-K19</f>
        <v>0</v>
      </c>
      <c r="K19" s="11">
        <v>47595</v>
      </c>
      <c r="L19" s="11">
        <f>H19-I19</f>
        <v>0</v>
      </c>
    </row>
    <row r="20" spans="1:12" x14ac:dyDescent="0.25">
      <c r="A20" s="21" t="s">
        <v>67</v>
      </c>
      <c r="B20" s="115"/>
      <c r="C20" s="4"/>
      <c r="D20" s="4"/>
      <c r="E20" s="116"/>
      <c r="F20" s="103"/>
      <c r="G20" s="103"/>
    </row>
    <row r="21" spans="1:12" x14ac:dyDescent="0.25">
      <c r="B21" s="115"/>
      <c r="C21" s="4"/>
      <c r="D21" s="4"/>
      <c r="E21" s="116"/>
      <c r="F21" s="103"/>
      <c r="G21" s="103"/>
    </row>
    <row r="23" spans="1:12" ht="15.75" thickBot="1" x14ac:dyDescent="0.3"/>
    <row r="24" spans="1:12" ht="18" thickBot="1" x14ac:dyDescent="0.35">
      <c r="A24" s="42" t="s">
        <v>100</v>
      </c>
      <c r="B24" s="43"/>
      <c r="C24" s="43"/>
      <c r="D24" s="43"/>
      <c r="E24" s="43"/>
      <c r="F24" s="84">
        <f t="shared" ref="F24:H24" si="7">F28</f>
        <v>12000</v>
      </c>
      <c r="G24" s="84">
        <f t="shared" si="7"/>
        <v>10753.15</v>
      </c>
      <c r="H24" s="84">
        <f t="shared" si="7"/>
        <v>22753.15</v>
      </c>
      <c r="I24" s="84">
        <f t="shared" ref="I24:L24" si="8">I28</f>
        <v>22221.02</v>
      </c>
      <c r="J24" s="84">
        <f t="shared" si="8"/>
        <v>3213.9700000000012</v>
      </c>
      <c r="K24" s="84">
        <f t="shared" si="8"/>
        <v>19007.05</v>
      </c>
      <c r="L24" s="84">
        <f t="shared" si="8"/>
        <v>532.13000000000193</v>
      </c>
    </row>
    <row r="25" spans="1:12" ht="15.75" thickBot="1" x14ac:dyDescent="0.3"/>
    <row r="26" spans="1:12" ht="45.75" thickBot="1" x14ac:dyDescent="0.3">
      <c r="A26" s="85" t="s">
        <v>64</v>
      </c>
      <c r="B26" s="57" t="s">
        <v>65</v>
      </c>
      <c r="C26" s="88"/>
      <c r="D26" s="89" t="s">
        <v>3</v>
      </c>
      <c r="E26" s="90"/>
      <c r="F26" s="75" t="s">
        <v>82</v>
      </c>
      <c r="G26" s="133" t="s">
        <v>126</v>
      </c>
      <c r="H26" s="97" t="s">
        <v>127</v>
      </c>
      <c r="I26" s="117" t="s">
        <v>193</v>
      </c>
      <c r="J26" s="118" t="s">
        <v>131</v>
      </c>
      <c r="K26" s="119" t="s">
        <v>132</v>
      </c>
      <c r="L26" s="120" t="s">
        <v>130</v>
      </c>
    </row>
    <row r="28" spans="1:12" ht="15.75" thickBot="1" x14ac:dyDescent="0.3">
      <c r="A28" s="58">
        <v>462</v>
      </c>
      <c r="B28" s="46">
        <v>6</v>
      </c>
      <c r="C28" s="47" t="s">
        <v>60</v>
      </c>
      <c r="D28" s="48"/>
      <c r="E28" s="59"/>
      <c r="F28" s="49">
        <f>SUM(F29:F33)</f>
        <v>12000</v>
      </c>
      <c r="G28" s="49">
        <f t="shared" ref="G28:L28" si="9">SUM(G29:G33)</f>
        <v>10753.15</v>
      </c>
      <c r="H28" s="49">
        <f t="shared" si="9"/>
        <v>22753.15</v>
      </c>
      <c r="I28" s="49">
        <f t="shared" si="9"/>
        <v>22221.02</v>
      </c>
      <c r="J28" s="49">
        <f t="shared" si="9"/>
        <v>3213.9700000000012</v>
      </c>
      <c r="K28" s="49">
        <f t="shared" si="9"/>
        <v>19007.05</v>
      </c>
      <c r="L28" s="49">
        <f t="shared" si="9"/>
        <v>532.13000000000193</v>
      </c>
    </row>
    <row r="29" spans="1:12" ht="15.75" thickTop="1" x14ac:dyDescent="0.25">
      <c r="A29" s="58"/>
      <c r="B29" s="87" t="s">
        <v>121</v>
      </c>
      <c r="C29" s="7" t="s">
        <v>122</v>
      </c>
      <c r="D29" s="8"/>
      <c r="E29" s="7"/>
      <c r="F29" s="18">
        <v>500</v>
      </c>
      <c r="G29" s="18">
        <v>0</v>
      </c>
      <c r="H29" s="18">
        <f>F29+G29</f>
        <v>500</v>
      </c>
      <c r="I29" s="11">
        <v>0</v>
      </c>
      <c r="J29" s="11">
        <f>I29-K29</f>
        <v>0</v>
      </c>
      <c r="K29" s="11">
        <v>0</v>
      </c>
      <c r="L29" s="11">
        <f>H29-I29</f>
        <v>500</v>
      </c>
    </row>
    <row r="30" spans="1:12" x14ac:dyDescent="0.25">
      <c r="A30" s="60" t="s">
        <v>66</v>
      </c>
      <c r="B30" s="87" t="s">
        <v>40</v>
      </c>
      <c r="C30" s="7" t="s">
        <v>96</v>
      </c>
      <c r="D30" s="8"/>
      <c r="E30" s="7"/>
      <c r="F30" s="18">
        <f>250+500+750</f>
        <v>1500</v>
      </c>
      <c r="G30" s="139">
        <v>0</v>
      </c>
      <c r="H30" s="18">
        <f t="shared" ref="H30:H32" si="10">F30+G30</f>
        <v>1500</v>
      </c>
      <c r="I30" s="11">
        <v>228.04</v>
      </c>
      <c r="J30" s="11">
        <f>I30-K30</f>
        <v>0</v>
      </c>
      <c r="K30" s="11">
        <v>228.04</v>
      </c>
      <c r="L30" s="11">
        <f t="shared" ref="L30:L32" si="11">H30-I30</f>
        <v>1271.96</v>
      </c>
    </row>
    <row r="31" spans="1:12" x14ac:dyDescent="0.25">
      <c r="A31" s="60" t="s">
        <v>84</v>
      </c>
      <c r="B31" s="87" t="s">
        <v>41</v>
      </c>
      <c r="C31" s="8" t="s">
        <v>97</v>
      </c>
      <c r="D31" s="8"/>
      <c r="E31" s="7"/>
      <c r="F31" s="18">
        <f>3000+1000+2500</f>
        <v>6500</v>
      </c>
      <c r="G31" s="139">
        <v>10753.15</v>
      </c>
      <c r="H31" s="18">
        <f t="shared" si="10"/>
        <v>17253.150000000001</v>
      </c>
      <c r="I31" s="11">
        <v>20867.98</v>
      </c>
      <c r="J31" s="11">
        <f t="shared" ref="J31:J32" si="12">I31-K31</f>
        <v>3213.9700000000012</v>
      </c>
      <c r="K31" s="11">
        <v>17654.009999999998</v>
      </c>
      <c r="L31" s="11">
        <f t="shared" si="11"/>
        <v>-3614.8299999999981</v>
      </c>
    </row>
    <row r="32" spans="1:12" x14ac:dyDescent="0.25">
      <c r="A32" s="21" t="s">
        <v>67</v>
      </c>
      <c r="B32" s="86" t="s">
        <v>42</v>
      </c>
      <c r="C32" s="9" t="s">
        <v>98</v>
      </c>
      <c r="D32" s="8"/>
      <c r="E32" s="9"/>
      <c r="F32" s="18">
        <f>1000+500</f>
        <v>1500</v>
      </c>
      <c r="G32" s="139">
        <v>0</v>
      </c>
      <c r="H32" s="18">
        <f t="shared" si="10"/>
        <v>1500</v>
      </c>
      <c r="I32" s="11">
        <v>1125</v>
      </c>
      <c r="J32" s="11">
        <f t="shared" si="12"/>
        <v>0</v>
      </c>
      <c r="K32" s="11">
        <v>1125</v>
      </c>
      <c r="L32" s="11">
        <f t="shared" si="11"/>
        <v>375</v>
      </c>
    </row>
    <row r="33" spans="2:12" x14ac:dyDescent="0.25">
      <c r="B33" s="87" t="s">
        <v>43</v>
      </c>
      <c r="C33" s="7" t="s">
        <v>99</v>
      </c>
      <c r="D33" s="8"/>
      <c r="E33" s="7"/>
      <c r="F33" s="18">
        <v>2000</v>
      </c>
      <c r="G33" s="18">
        <v>0</v>
      </c>
      <c r="H33" s="18">
        <f t="shared" ref="H33" si="13">F33+G33</f>
        <v>2000</v>
      </c>
      <c r="I33" s="11">
        <v>0</v>
      </c>
      <c r="J33" s="11">
        <f t="shared" ref="J33" si="14">I33-K33</f>
        <v>0</v>
      </c>
      <c r="K33" s="11">
        <v>0</v>
      </c>
      <c r="L33" s="11">
        <f t="shared" ref="L33" si="15">H33-I33</f>
        <v>2000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&amp;CLiquidació pressupost 2021 IERMB _ 31-12-2021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FC0C5-5231-4C1F-B9C4-A418820B6CA4}">
  <dimension ref="A1"/>
  <sheetViews>
    <sheetView workbookViewId="0">
      <selection activeCell="I67" sqref="I67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M30" sqref="M30"/>
    </sheetView>
  </sheetViews>
  <sheetFormatPr baseColWidth="10" defaultRowHeight="15" x14ac:dyDescent="0.25"/>
  <sheetData/>
  <pageMargins left="0" right="0" top="0.39370078740157483" bottom="0.39370078740157483" header="0.31496062992125984" footer="0.15748031496062992"/>
  <pageSetup paperSize="9" scale="80" orientation="portrait" r:id="rId1"/>
  <headerFooter>
    <oddFooter>&amp;CSeguiment pressupost 2021 IERMB _ 31-03-2021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3B284-8B27-450F-92C2-52D0BABBAE98}">
  <ds:schemaRefs>
    <ds:schemaRef ds:uri="977d640c-2baf-417a-bfef-cea2a0cd824b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bbe3a3b-e8e0-4c60-85a0-914a76045c4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C8E982-196B-48A6-BAAA-3C0F31590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B4B9E-99DB-464E-8BD4-76B0EBE4A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Ana Romero Valle</cp:lastModifiedBy>
  <cp:lastPrinted>2022-02-23T11:47:09Z</cp:lastPrinted>
  <dcterms:created xsi:type="dcterms:W3CDTF">2011-11-15T15:44:37Z</dcterms:created>
  <dcterms:modified xsi:type="dcterms:W3CDTF">2022-03-16T08:48:48Z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