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3/Març/"/>
    </mc:Choice>
  </mc:AlternateContent>
  <xr:revisionPtr revIDLastSave="652" documentId="11_C781E56B95AB3D3B43C112250FF4F468D7DF32A0" xr6:coauthVersionLast="47" xr6:coauthVersionMax="47" xr10:uidLastSave="{5482E417-F965-4127-AB17-AD9BC7D5C175}"/>
  <bookViews>
    <workbookView xWindow="-120" yWindow="-120" windowWidth="29040" windowHeight="15840" tabRatio="588" xr2:uid="{00000000-000D-0000-FFFF-FFFF00000000}"/>
  </bookViews>
  <sheets>
    <sheet name="Resum" sheetId="15" r:id="rId1"/>
    <sheet name="Cap. 3 Ing. vendes" sheetId="19" r:id="rId2"/>
    <sheet name="Cap. 4 Ing. Transf.corrents" sheetId="18" r:id="rId3"/>
    <sheet name="Cap. 5 i Cap. 8 Ing. pat -rom." sheetId="17" r:id="rId4"/>
    <sheet name="Cap. 1 Desp. Personal" sheetId="16" r:id="rId5"/>
    <sheet name="Cap. 2 Desp.Corrents" sheetId="11" r:id="rId6"/>
    <sheet name="Cap. 3-4-6 Df,Tc,Inv" sheetId="20" r:id="rId7"/>
  </sheets>
  <definedNames>
    <definedName name="Print_Area" localSheetId="1">'Cap. 3 Ing. vendes'!$A$1:$L$19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3" i="15" l="1"/>
  <c r="G69" i="15"/>
  <c r="G65" i="15"/>
  <c r="H54" i="15"/>
  <c r="H55" i="15" l="1"/>
  <c r="K18" i="19"/>
  <c r="G7" i="19"/>
  <c r="H7" i="19"/>
  <c r="I7" i="19"/>
  <c r="L7" i="19"/>
  <c r="F7" i="19"/>
  <c r="G9" i="19"/>
  <c r="H9" i="19"/>
  <c r="I9" i="19"/>
  <c r="K9" i="19"/>
  <c r="K7" i="19" s="1"/>
  <c r="L9" i="19"/>
  <c r="F9" i="19"/>
  <c r="G19" i="19"/>
  <c r="H19" i="19"/>
  <c r="I19" i="19"/>
  <c r="J19" i="19"/>
  <c r="K19" i="19"/>
  <c r="L19" i="19"/>
  <c r="F19" i="19"/>
  <c r="J15" i="19"/>
  <c r="H15" i="19"/>
  <c r="L15" i="19" s="1"/>
  <c r="L14" i="19"/>
  <c r="J14" i="19"/>
  <c r="H14" i="19"/>
  <c r="J13" i="19"/>
  <c r="H13" i="19"/>
  <c r="L13" i="19" s="1"/>
  <c r="H16" i="19"/>
  <c r="J16" i="19"/>
  <c r="L16" i="19"/>
  <c r="H17" i="19"/>
  <c r="J17" i="19"/>
  <c r="L17" i="19"/>
  <c r="G18" i="19"/>
  <c r="H18" i="19" s="1"/>
  <c r="I18" i="19"/>
  <c r="L18" i="19" s="1"/>
  <c r="J18" i="19"/>
  <c r="J9" i="19" s="1"/>
  <c r="J7" i="19" s="1"/>
  <c r="I24" i="19"/>
  <c r="J24" i="19" s="1"/>
  <c r="J23" i="19" s="1"/>
  <c r="G24" i="19"/>
  <c r="H24" i="19" s="1"/>
  <c r="H23" i="19" s="1"/>
  <c r="K23" i="19"/>
  <c r="G23" i="19"/>
  <c r="F23" i="19"/>
  <c r="F42" i="18"/>
  <c r="J46" i="18"/>
  <c r="H46" i="18"/>
  <c r="L46" i="18" s="1"/>
  <c r="J45" i="18"/>
  <c r="H45" i="18"/>
  <c r="K9" i="18"/>
  <c r="I9" i="18"/>
  <c r="G9" i="18"/>
  <c r="L24" i="19" l="1"/>
  <c r="L23" i="19" s="1"/>
  <c r="I23" i="19"/>
  <c r="L45" i="18"/>
  <c r="J30" i="18"/>
  <c r="H30" i="18"/>
  <c r="L30" i="18" s="1"/>
  <c r="G31" i="18"/>
  <c r="I55" i="15" l="1"/>
  <c r="G77" i="15" l="1"/>
  <c r="G82" i="15" s="1"/>
  <c r="I48" i="15"/>
  <c r="F47" i="15"/>
  <c r="I47" i="15" s="1"/>
  <c r="E23" i="15" l="1"/>
  <c r="F23" i="15"/>
  <c r="G23" i="15"/>
  <c r="H23" i="15"/>
  <c r="I23" i="15"/>
  <c r="J23" i="15"/>
  <c r="D23" i="15"/>
  <c r="H25" i="20"/>
  <c r="G25" i="20"/>
  <c r="I25" i="20"/>
  <c r="I21" i="20" s="1"/>
  <c r="G24" i="15" s="1"/>
  <c r="K25" i="20"/>
  <c r="K21" i="20" s="1"/>
  <c r="I24" i="15" s="1"/>
  <c r="F25" i="20"/>
  <c r="H26" i="20"/>
  <c r="L26" i="20" s="1"/>
  <c r="J26" i="20"/>
  <c r="J31" i="20"/>
  <c r="H31" i="20"/>
  <c r="L31" i="20" s="1"/>
  <c r="J30" i="20"/>
  <c r="J25" i="20" s="1"/>
  <c r="J29" i="20"/>
  <c r="J28" i="20"/>
  <c r="J27" i="20"/>
  <c r="H27" i="20"/>
  <c r="J9" i="20"/>
  <c r="J8" i="20"/>
  <c r="K7" i="20"/>
  <c r="K3" i="20" s="1"/>
  <c r="I22" i="15" s="1"/>
  <c r="I7" i="20"/>
  <c r="I3" i="20" s="1"/>
  <c r="G22" i="15" s="1"/>
  <c r="G7" i="20"/>
  <c r="G3" i="20" s="1"/>
  <c r="E22" i="15" s="1"/>
  <c r="J18" i="20"/>
  <c r="J16" i="20" s="1"/>
  <c r="J12" i="20" s="1"/>
  <c r="H18" i="20"/>
  <c r="L18" i="20" s="1"/>
  <c r="L16" i="20" s="1"/>
  <c r="L12" i="20" s="1"/>
  <c r="H17" i="20"/>
  <c r="K16" i="20"/>
  <c r="K12" i="20" s="1"/>
  <c r="I16" i="20"/>
  <c r="I12" i="20" s="1"/>
  <c r="G16" i="20"/>
  <c r="G12" i="20" s="1"/>
  <c r="F16" i="20"/>
  <c r="F12" i="20" s="1"/>
  <c r="J30" i="11"/>
  <c r="H30" i="11"/>
  <c r="L30" i="11" s="1"/>
  <c r="J29" i="11"/>
  <c r="H29" i="11"/>
  <c r="L29" i="11" s="1"/>
  <c r="L28" i="11"/>
  <c r="J28" i="11"/>
  <c r="H28" i="11"/>
  <c r="J27" i="11"/>
  <c r="H27" i="11"/>
  <c r="L27" i="11" s="1"/>
  <c r="L26" i="11"/>
  <c r="J26" i="11"/>
  <c r="H26" i="11"/>
  <c r="J25" i="11"/>
  <c r="H25" i="11"/>
  <c r="L25" i="11" s="1"/>
  <c r="J24" i="11"/>
  <c r="G7" i="11"/>
  <c r="G3" i="11" s="1"/>
  <c r="E21" i="15" s="1"/>
  <c r="L23" i="11"/>
  <c r="J23" i="11"/>
  <c r="H23" i="11"/>
  <c r="J22" i="11"/>
  <c r="H22" i="11"/>
  <c r="L22" i="11" s="1"/>
  <c r="L21" i="11"/>
  <c r="J21" i="11"/>
  <c r="H21" i="11"/>
  <c r="J20" i="11"/>
  <c r="H20" i="11"/>
  <c r="L20" i="11" s="1"/>
  <c r="J19" i="11"/>
  <c r="H19" i="11"/>
  <c r="L19" i="11" s="1"/>
  <c r="L18" i="11"/>
  <c r="J18" i="11"/>
  <c r="H18" i="11"/>
  <c r="J17" i="11"/>
  <c r="H17" i="11"/>
  <c r="L17" i="11" s="1"/>
  <c r="J16" i="11"/>
  <c r="H16" i="11"/>
  <c r="L16" i="11" s="1"/>
  <c r="J15" i="11"/>
  <c r="H15" i="11"/>
  <c r="L15" i="11" s="1"/>
  <c r="J14" i="11"/>
  <c r="H14" i="11"/>
  <c r="L14" i="11" s="1"/>
  <c r="L13" i="11"/>
  <c r="J13" i="11"/>
  <c r="H13" i="11"/>
  <c r="L12" i="11"/>
  <c r="J12" i="11"/>
  <c r="H12" i="11"/>
  <c r="J11" i="11"/>
  <c r="H11" i="11"/>
  <c r="L11" i="11" s="1"/>
  <c r="L10" i="11"/>
  <c r="J10" i="11"/>
  <c r="H10" i="11"/>
  <c r="J9" i="11"/>
  <c r="H9" i="11"/>
  <c r="L9" i="11" s="1"/>
  <c r="J8" i="11"/>
  <c r="H8" i="11"/>
  <c r="K7" i="11"/>
  <c r="K3" i="11" s="1"/>
  <c r="I21" i="15" s="1"/>
  <c r="I7" i="11"/>
  <c r="I3" i="11" s="1"/>
  <c r="G21" i="15" s="1"/>
  <c r="G9" i="16"/>
  <c r="H9" i="16" s="1"/>
  <c r="J9" i="16"/>
  <c r="H10" i="16"/>
  <c r="J10" i="16"/>
  <c r="L10" i="16"/>
  <c r="H11" i="16"/>
  <c r="J11" i="16"/>
  <c r="L11" i="16"/>
  <c r="H12" i="16"/>
  <c r="J12" i="16"/>
  <c r="L12" i="16"/>
  <c r="H13" i="16"/>
  <c r="L13" i="16" s="1"/>
  <c r="J13" i="16"/>
  <c r="H14" i="16"/>
  <c r="J14" i="16"/>
  <c r="L14" i="16"/>
  <c r="H15" i="16"/>
  <c r="L15" i="16" s="1"/>
  <c r="J15" i="16"/>
  <c r="G7" i="16"/>
  <c r="G3" i="16" s="1"/>
  <c r="E20" i="15" s="1"/>
  <c r="K7" i="16"/>
  <c r="K3" i="16" s="1"/>
  <c r="I20" i="15" s="1"/>
  <c r="I7" i="16"/>
  <c r="I3" i="16" s="1"/>
  <c r="G20" i="15" s="1"/>
  <c r="J8" i="16"/>
  <c r="H8" i="16"/>
  <c r="L8" i="16" s="1"/>
  <c r="H11" i="18"/>
  <c r="L11" i="18" s="1"/>
  <c r="E11" i="15"/>
  <c r="F11" i="15"/>
  <c r="G11" i="15"/>
  <c r="H11" i="15"/>
  <c r="I11" i="15"/>
  <c r="J11" i="15"/>
  <c r="D11" i="15"/>
  <c r="I9" i="17"/>
  <c r="I8" i="17" s="1"/>
  <c r="I7" i="17" s="1"/>
  <c r="I3" i="17" s="1"/>
  <c r="H10" i="15" s="1"/>
  <c r="G9" i="17"/>
  <c r="K9" i="17" s="1"/>
  <c r="K8" i="17" s="1"/>
  <c r="K7" i="17" s="1"/>
  <c r="K3" i="17" s="1"/>
  <c r="J10" i="15" s="1"/>
  <c r="J8" i="17"/>
  <c r="J7" i="17" s="1"/>
  <c r="J3" i="17" s="1"/>
  <c r="I10" i="15" s="1"/>
  <c r="H8" i="17"/>
  <c r="H7" i="17" s="1"/>
  <c r="H3" i="17" s="1"/>
  <c r="G10" i="15" s="1"/>
  <c r="F8" i="17"/>
  <c r="F7" i="17" s="1"/>
  <c r="F3" i="17" s="1"/>
  <c r="E10" i="15" s="1"/>
  <c r="I21" i="17"/>
  <c r="G21" i="17"/>
  <c r="G20" i="17" s="1"/>
  <c r="J20" i="17"/>
  <c r="J17" i="17" s="1"/>
  <c r="J13" i="17" s="1"/>
  <c r="H20" i="17"/>
  <c r="F20" i="17"/>
  <c r="E20" i="17"/>
  <c r="I19" i="17"/>
  <c r="I18" i="17" s="1"/>
  <c r="G19" i="17"/>
  <c r="G18" i="17" s="1"/>
  <c r="J18" i="17"/>
  <c r="H18" i="17"/>
  <c r="F18" i="17"/>
  <c r="E18" i="17"/>
  <c r="F19" i="18"/>
  <c r="G19" i="18"/>
  <c r="J36" i="18"/>
  <c r="J35" i="18"/>
  <c r="J34" i="18"/>
  <c r="J23" i="18"/>
  <c r="J22" i="18"/>
  <c r="K33" i="18"/>
  <c r="K32" i="18" s="1"/>
  <c r="I33" i="18"/>
  <c r="J33" i="18" s="1"/>
  <c r="G33" i="18"/>
  <c r="H33" i="18" s="1"/>
  <c r="K31" i="18"/>
  <c r="I31" i="18"/>
  <c r="J31" i="18" s="1"/>
  <c r="K28" i="18"/>
  <c r="I28" i="18"/>
  <c r="G28" i="18"/>
  <c r="G26" i="18" s="1"/>
  <c r="F28" i="18"/>
  <c r="F26" i="18" s="1"/>
  <c r="F17" i="18"/>
  <c r="F13" i="18"/>
  <c r="F10" i="18"/>
  <c r="F37" i="18"/>
  <c r="F32" i="18"/>
  <c r="J38" i="18"/>
  <c r="H38" i="18"/>
  <c r="L38" i="18" s="1"/>
  <c r="L37" i="18" s="1"/>
  <c r="K37" i="18"/>
  <c r="I37" i="18"/>
  <c r="G37" i="18"/>
  <c r="H35" i="18"/>
  <c r="L35" i="18" s="1"/>
  <c r="H34" i="18"/>
  <c r="L34" i="18" s="1"/>
  <c r="H23" i="18"/>
  <c r="L23" i="18" s="1"/>
  <c r="H22" i="18"/>
  <c r="L22" i="18" s="1"/>
  <c r="K16" i="18"/>
  <c r="I16" i="18"/>
  <c r="H16" i="18"/>
  <c r="K15" i="18"/>
  <c r="H15" i="18"/>
  <c r="J14" i="18"/>
  <c r="H14" i="18"/>
  <c r="L14" i="18" s="1"/>
  <c r="G13" i="18"/>
  <c r="J44" i="18"/>
  <c r="H44" i="18"/>
  <c r="L44" i="18" s="1"/>
  <c r="K43" i="18"/>
  <c r="K42" i="18" s="1"/>
  <c r="I43" i="18"/>
  <c r="I42" i="18" s="1"/>
  <c r="G43" i="18"/>
  <c r="H36" i="18"/>
  <c r="L36" i="18" s="1"/>
  <c r="H31" i="18"/>
  <c r="J29" i="18"/>
  <c r="H29" i="18"/>
  <c r="L29" i="18" s="1"/>
  <c r="J27" i="18"/>
  <c r="H27" i="18"/>
  <c r="L27" i="18" s="1"/>
  <c r="J25" i="18"/>
  <c r="J24" i="18" s="1"/>
  <c r="H25" i="18"/>
  <c r="L25" i="18" s="1"/>
  <c r="L24" i="18" s="1"/>
  <c r="K24" i="18"/>
  <c r="I24" i="18"/>
  <c r="G24" i="18"/>
  <c r="F24" i="18"/>
  <c r="K21" i="18"/>
  <c r="K19" i="18" s="1"/>
  <c r="I21" i="18"/>
  <c r="I19" i="18" s="1"/>
  <c r="H21" i="18"/>
  <c r="J20" i="18"/>
  <c r="H20" i="18"/>
  <c r="L20" i="18" s="1"/>
  <c r="J18" i="18"/>
  <c r="J17" i="18" s="1"/>
  <c r="H18" i="18"/>
  <c r="H17" i="18" s="1"/>
  <c r="K17" i="18"/>
  <c r="I17" i="18"/>
  <c r="G17" i="18"/>
  <c r="H12" i="18"/>
  <c r="L12" i="18" s="1"/>
  <c r="K10" i="18"/>
  <c r="I10" i="18"/>
  <c r="G10" i="18"/>
  <c r="K8" i="18"/>
  <c r="I8" i="18"/>
  <c r="H9" i="18"/>
  <c r="F8" i="18"/>
  <c r="J21" i="19"/>
  <c r="G3" i="19"/>
  <c r="E8" i="15" s="1"/>
  <c r="J22" i="19"/>
  <c r="H20" i="19"/>
  <c r="H21" i="19"/>
  <c r="L21" i="19" s="1"/>
  <c r="H22" i="19"/>
  <c r="L22" i="19" s="1"/>
  <c r="J20" i="19"/>
  <c r="J12" i="19"/>
  <c r="H12" i="19"/>
  <c r="L12" i="19" s="1"/>
  <c r="K11" i="19"/>
  <c r="I11" i="19"/>
  <c r="H11" i="19"/>
  <c r="J10" i="19"/>
  <c r="H10" i="19"/>
  <c r="L10" i="19" s="1"/>
  <c r="J8" i="19"/>
  <c r="H8" i="19"/>
  <c r="L8" i="19" s="1"/>
  <c r="F30" i="11"/>
  <c r="F25" i="11"/>
  <c r="F24" i="11"/>
  <c r="F23" i="11"/>
  <c r="F21" i="11"/>
  <c r="F16" i="11"/>
  <c r="H43" i="18" l="1"/>
  <c r="H42" i="18" s="1"/>
  <c r="G42" i="18"/>
  <c r="G45" i="15"/>
  <c r="G46" i="15" s="1"/>
  <c r="I45" i="15"/>
  <c r="G44" i="15"/>
  <c r="I26" i="18"/>
  <c r="I32" i="18"/>
  <c r="L21" i="18"/>
  <c r="L19" i="18" s="1"/>
  <c r="H19" i="18"/>
  <c r="F7" i="18"/>
  <c r="F3" i="18" s="1"/>
  <c r="J21" i="20"/>
  <c r="H24" i="15" s="1"/>
  <c r="J7" i="20"/>
  <c r="J3" i="20" s="1"/>
  <c r="H22" i="15" s="1"/>
  <c r="L27" i="20"/>
  <c r="G21" i="20"/>
  <c r="E24" i="15" s="1"/>
  <c r="E26" i="15" s="1"/>
  <c r="H16" i="20"/>
  <c r="H12" i="20" s="1"/>
  <c r="J7" i="11"/>
  <c r="J3" i="11" s="1"/>
  <c r="H21" i="15" s="1"/>
  <c r="H24" i="11"/>
  <c r="L24" i="11" s="1"/>
  <c r="L8" i="11"/>
  <c r="L7" i="11" s="1"/>
  <c r="L3" i="11" s="1"/>
  <c r="G26" i="15"/>
  <c r="J7" i="16"/>
  <c r="J3" i="16" s="1"/>
  <c r="H20" i="15" s="1"/>
  <c r="L9" i="16"/>
  <c r="I26" i="15"/>
  <c r="H17" i="17"/>
  <c r="H13" i="17" s="1"/>
  <c r="F17" i="17"/>
  <c r="F13" i="17" s="1"/>
  <c r="E17" i="17"/>
  <c r="E13" i="17" s="1"/>
  <c r="G17" i="17"/>
  <c r="G13" i="17" s="1"/>
  <c r="G8" i="17"/>
  <c r="G7" i="17" s="1"/>
  <c r="G3" i="17" s="1"/>
  <c r="F10" i="15" s="1"/>
  <c r="K21" i="17"/>
  <c r="K19" i="17"/>
  <c r="K18" i="17" s="1"/>
  <c r="I20" i="17"/>
  <c r="I17" i="17" s="1"/>
  <c r="I13" i="17" s="1"/>
  <c r="K26" i="18"/>
  <c r="L31" i="18"/>
  <c r="H37" i="18"/>
  <c r="J37" i="18"/>
  <c r="G8" i="18"/>
  <c r="H24" i="18"/>
  <c r="L16" i="18"/>
  <c r="K13" i="18"/>
  <c r="J32" i="18"/>
  <c r="L15" i="18"/>
  <c r="J16" i="18"/>
  <c r="J10" i="18"/>
  <c r="J28" i="18"/>
  <c r="J26" i="18" s="1"/>
  <c r="J15" i="18"/>
  <c r="H13" i="18"/>
  <c r="I13" i="18"/>
  <c r="H10" i="18"/>
  <c r="J9" i="18"/>
  <c r="J8" i="18" s="1"/>
  <c r="J43" i="18"/>
  <c r="J42" i="18" s="1"/>
  <c r="H8" i="18"/>
  <c r="L9" i="18"/>
  <c r="L8" i="18" s="1"/>
  <c r="L33" i="18"/>
  <c r="L32" i="18" s="1"/>
  <c r="H32" i="18"/>
  <c r="L10" i="18"/>
  <c r="L43" i="18"/>
  <c r="L42" i="18" s="1"/>
  <c r="L18" i="18"/>
  <c r="L17" i="18" s="1"/>
  <c r="G32" i="18"/>
  <c r="H28" i="18"/>
  <c r="J21" i="18"/>
  <c r="J19" i="18" s="1"/>
  <c r="H3" i="19"/>
  <c r="F8" i="15" s="1"/>
  <c r="L20" i="19"/>
  <c r="L11" i="19"/>
  <c r="K3" i="19"/>
  <c r="I8" i="15" s="1"/>
  <c r="I3" i="19"/>
  <c r="G8" i="15" s="1"/>
  <c r="J11" i="19"/>
  <c r="J3" i="19" s="1"/>
  <c r="H8" i="15" s="1"/>
  <c r="L13" i="18" l="1"/>
  <c r="G7" i="18"/>
  <c r="G3" i="18" s="1"/>
  <c r="E9" i="15" s="1"/>
  <c r="E13" i="15" s="1"/>
  <c r="E28" i="15" s="1"/>
  <c r="I7" i="18"/>
  <c r="I3" i="18" s="1"/>
  <c r="G9" i="15" s="1"/>
  <c r="K7" i="18"/>
  <c r="K3" i="18" s="1"/>
  <c r="I9" i="15" s="1"/>
  <c r="I13" i="15" s="1"/>
  <c r="I28" i="15" s="1"/>
  <c r="G50" i="15"/>
  <c r="H26" i="15"/>
  <c r="H7" i="11"/>
  <c r="H3" i="11" s="1"/>
  <c r="F21" i="15" s="1"/>
  <c r="J21" i="15"/>
  <c r="L7" i="16"/>
  <c r="L3" i="16" s="1"/>
  <c r="J20" i="15" s="1"/>
  <c r="H7" i="16"/>
  <c r="H3" i="16" s="1"/>
  <c r="F20" i="15" s="1"/>
  <c r="K20" i="17"/>
  <c r="K17" i="17" s="1"/>
  <c r="K13" i="17" s="1"/>
  <c r="J13" i="18"/>
  <c r="L28" i="18"/>
  <c r="H26" i="18"/>
  <c r="H7" i="18" s="1"/>
  <c r="L3" i="19"/>
  <c r="J8" i="15" s="1"/>
  <c r="F30" i="20"/>
  <c r="H30" i="20" s="1"/>
  <c r="L30" i="20" s="1"/>
  <c r="F29" i="20"/>
  <c r="H29" i="20" s="1"/>
  <c r="L29" i="20" s="1"/>
  <c r="F28" i="20"/>
  <c r="L26" i="18" l="1"/>
  <c r="L7" i="18" s="1"/>
  <c r="L3" i="18" s="1"/>
  <c r="J9" i="15" s="1"/>
  <c r="F44" i="15"/>
  <c r="I44" i="15" s="1"/>
  <c r="G13" i="15"/>
  <c r="G28" i="15" s="1"/>
  <c r="J7" i="18"/>
  <c r="J3" i="18" s="1"/>
  <c r="H9" i="15" s="1"/>
  <c r="H13" i="15" s="1"/>
  <c r="H28" i="15" s="1"/>
  <c r="H28" i="20"/>
  <c r="H3" i="18"/>
  <c r="F9" i="15" s="1"/>
  <c r="F13" i="15" s="1"/>
  <c r="F9" i="20"/>
  <c r="H9" i="20" s="1"/>
  <c r="L9" i="20" s="1"/>
  <c r="F8" i="20"/>
  <c r="H8" i="20" s="1"/>
  <c r="F7" i="11"/>
  <c r="F46" i="15" l="1"/>
  <c r="L8" i="20"/>
  <c r="L7" i="20" s="1"/>
  <c r="L3" i="20" s="1"/>
  <c r="J22" i="15" s="1"/>
  <c r="H7" i="20"/>
  <c r="H3" i="20" s="1"/>
  <c r="F22" i="15" s="1"/>
  <c r="L28" i="20"/>
  <c r="H21" i="20"/>
  <c r="F24" i="15" s="1"/>
  <c r="J13" i="15"/>
  <c r="F3" i="19"/>
  <c r="D8" i="15" s="1"/>
  <c r="F21" i="20"/>
  <c r="D24" i="15" s="1"/>
  <c r="F7" i="16"/>
  <c r="F3" i="16" s="1"/>
  <c r="D20" i="15" s="1"/>
  <c r="F7" i="20"/>
  <c r="F3" i="20" s="1"/>
  <c r="D22" i="15" s="1"/>
  <c r="F3" i="11"/>
  <c r="D21" i="15" s="1"/>
  <c r="E8" i="17"/>
  <c r="E7" i="17" s="1"/>
  <c r="E3" i="17" s="1"/>
  <c r="D10" i="15" s="1"/>
  <c r="F50" i="15" l="1"/>
  <c r="I50" i="15" s="1"/>
  <c r="I57" i="15" s="1"/>
  <c r="I46" i="15"/>
  <c r="L25" i="20"/>
  <c r="L21" i="20" s="1"/>
  <c r="J24" i="15" s="1"/>
  <c r="J26" i="15" s="1"/>
  <c r="J28" i="15" s="1"/>
  <c r="F26" i="15"/>
  <c r="F28" i="15" s="1"/>
  <c r="D9" i="15"/>
  <c r="D26" i="15"/>
  <c r="D13" i="15" l="1"/>
</calcChain>
</file>

<file path=xl/sharedStrings.xml><?xml version="1.0" encoding="utf-8"?>
<sst xmlns="http://schemas.openxmlformats.org/spreadsheetml/2006/main" count="344" uniqueCount="217">
  <si>
    <t>Diputació de Barcelona</t>
  </si>
  <si>
    <t>Àrea Metropolitana de Barcelona</t>
  </si>
  <si>
    <t>Seguretat Social</t>
  </si>
  <si>
    <t>Descripció</t>
  </si>
  <si>
    <t>Venda de publicacions</t>
  </si>
  <si>
    <t>Departament d'Empresa i Ocupació (Gencat)</t>
  </si>
  <si>
    <t>Ajuntament de Barcelona</t>
  </si>
  <si>
    <t>Universitat Autònoma de Barcelona</t>
  </si>
  <si>
    <t>Personal fix. Retribucions bàsiques</t>
  </si>
  <si>
    <t>Despeses postals, missatgeria i altres similars</t>
  </si>
  <si>
    <t>22201</t>
  </si>
  <si>
    <t>13000</t>
  </si>
  <si>
    <t>16000</t>
  </si>
  <si>
    <t>16200</t>
  </si>
  <si>
    <t>Formació i perfeccionament</t>
  </si>
  <si>
    <t>Arrendaments de maquinaria, instal·lacions i utillatge</t>
  </si>
  <si>
    <t>20200</t>
  </si>
  <si>
    <t>20300</t>
  </si>
  <si>
    <t>22002</t>
  </si>
  <si>
    <t>Material informàtic no inventariable</t>
  </si>
  <si>
    <t>Material oficina ordinari no inventariable</t>
  </si>
  <si>
    <t>22000</t>
  </si>
  <si>
    <t>22400</t>
  </si>
  <si>
    <t>22603</t>
  </si>
  <si>
    <t>22706</t>
  </si>
  <si>
    <t>Dietes personal directiu</t>
  </si>
  <si>
    <t>Dietes personal no directiu</t>
  </si>
  <si>
    <t>22799</t>
  </si>
  <si>
    <t>24000</t>
  </si>
  <si>
    <t>Locomoció personal directiu</t>
  </si>
  <si>
    <t>Locomoció personal no directiu</t>
  </si>
  <si>
    <t>22602</t>
  </si>
  <si>
    <t>Publicitat - serveis web/intranet</t>
  </si>
  <si>
    <t>23110</t>
  </si>
  <si>
    <t>23120</t>
  </si>
  <si>
    <t>23010</t>
  </si>
  <si>
    <t>23020</t>
  </si>
  <si>
    <t>22200</t>
  </si>
  <si>
    <t>Reunions, conferències i cursos</t>
  </si>
  <si>
    <t>22606</t>
  </si>
  <si>
    <t>63500</t>
  </si>
  <si>
    <t>63600</t>
  </si>
  <si>
    <t>63900</t>
  </si>
  <si>
    <t>64100</t>
  </si>
  <si>
    <t>PREVISIÓ ESTAT D'INGRESSOS:</t>
  </si>
  <si>
    <t xml:space="preserve">CAPÍTOL 2: Despeses corrents de béns i serveis </t>
  </si>
  <si>
    <t xml:space="preserve">CAPÍTOL 3: Despeses financeres </t>
  </si>
  <si>
    <t xml:space="preserve">Capítol  </t>
  </si>
  <si>
    <t>ATM</t>
  </si>
  <si>
    <t xml:space="preserve">Aportació Institucional </t>
  </si>
  <si>
    <t>Aportació Institucional</t>
  </si>
  <si>
    <t>22699</t>
  </si>
  <si>
    <t>Altres despeses diverses</t>
  </si>
  <si>
    <t>10100</t>
  </si>
  <si>
    <t>Alts càrrecs. Retribucions bàsiques</t>
  </si>
  <si>
    <t xml:space="preserve">Transferències corrents </t>
  </si>
  <si>
    <t>Ingressos patrimonials</t>
  </si>
  <si>
    <t>TOTAL PREVISIÓ ESTAT D'INGRESSOS</t>
  </si>
  <si>
    <t>Despeses corrents de béns i serveis</t>
  </si>
  <si>
    <t>Despeses financeres</t>
  </si>
  <si>
    <t>Inversions reals</t>
  </si>
  <si>
    <t>TOTAL PREVISIÓ ESTAT DE DESPESES</t>
  </si>
  <si>
    <t>Capítol  /  Concepte</t>
  </si>
  <si>
    <t>CAPÍTOL 5: Ingressos patrimonials</t>
  </si>
  <si>
    <t>Programa</t>
  </si>
  <si>
    <t>Capítol / concepte</t>
  </si>
  <si>
    <t>Investigació</t>
  </si>
  <si>
    <t>Innovació</t>
  </si>
  <si>
    <t>31000</t>
  </si>
  <si>
    <t>Altres despeses financeres</t>
  </si>
  <si>
    <t>Altres remuneracions. Indemnitzacions</t>
  </si>
  <si>
    <t>Enquesta de Mobilitat en dia Feiner (EMEF)</t>
  </si>
  <si>
    <t>13100</t>
  </si>
  <si>
    <t>Personal temporal. Retribucions bàsiques</t>
  </si>
  <si>
    <t>13101</t>
  </si>
  <si>
    <t>16209</t>
  </si>
  <si>
    <t>Despeses socials</t>
  </si>
  <si>
    <t>Altres estudis o activitats</t>
  </si>
  <si>
    <t>Varis</t>
  </si>
  <si>
    <t>22001</t>
  </si>
  <si>
    <t>Premsa, revistes, llibres i altres publicacions</t>
  </si>
  <si>
    <t>Global Entrepreneurship Monitor Catalunya</t>
  </si>
  <si>
    <t>Desenvolupament</t>
  </si>
  <si>
    <t xml:space="preserve">   Descripció</t>
  </si>
  <si>
    <t>Taxes, preus públics i altres ingressos</t>
  </si>
  <si>
    <t>Despeses de Personal</t>
  </si>
  <si>
    <t>Altres ingressos diversos</t>
  </si>
  <si>
    <t>Interessos de dipòsits</t>
  </si>
  <si>
    <t>Despeses corrents en béns i serveis</t>
  </si>
  <si>
    <t>Arrendaments d'edificis i altres construccions</t>
  </si>
  <si>
    <t>Servei de telecomunicacions</t>
  </si>
  <si>
    <t>Primes d'assegurances</t>
  </si>
  <si>
    <t>Publicació en diaris oficials</t>
  </si>
  <si>
    <t>Interessos de préstecs d'ens de fora del Sector Públic</t>
  </si>
  <si>
    <t xml:space="preserve">Mobiliari </t>
  </si>
  <si>
    <t>Equips per a processos d'informació</t>
  </si>
  <si>
    <t>Altre immobilitzat material</t>
  </si>
  <si>
    <t>Aplicacions informàtiques</t>
  </si>
  <si>
    <t xml:space="preserve">CAPÍTOL 6: Inversions reals </t>
  </si>
  <si>
    <t>CAPÍTOL 1: Despeses de personal</t>
  </si>
  <si>
    <t xml:space="preserve">CAPÍTOL 4: Transferències corrents </t>
  </si>
  <si>
    <t>CAPÍTOL 3: Taxes, preus públics i altres ingressos</t>
  </si>
  <si>
    <t xml:space="preserve">Contracte Programa </t>
  </si>
  <si>
    <t>Ajuntament BCN</t>
  </si>
  <si>
    <t>Contracte Programa Àrea Drets Socials</t>
  </si>
  <si>
    <t>14300</t>
  </si>
  <si>
    <t>Sous personal eventual (en pràctiques)</t>
  </si>
  <si>
    <t>21300</t>
  </si>
  <si>
    <t>Reparacions, manteniment i conservació. Maquinària, instal·lacions</t>
  </si>
  <si>
    <t>Ajuntament Hospitalet de Llobregat</t>
  </si>
  <si>
    <t>Contracte Programa Direcció Serveis de Prevenció</t>
  </si>
  <si>
    <t>Estudis i treballs tècnics</t>
  </si>
  <si>
    <t>Treballs realitzats per persones físiques o jurídiques</t>
  </si>
  <si>
    <t>Despeses de publicacions</t>
  </si>
  <si>
    <t>AMB</t>
  </si>
  <si>
    <t>Ajuntament BCN (IMHAB)</t>
  </si>
  <si>
    <t>Xifres habitatge</t>
  </si>
  <si>
    <t>21600</t>
  </si>
  <si>
    <t>Reparacions, manteniment i conservació. Equips per a processos d'informació</t>
  </si>
  <si>
    <t>63300</t>
  </si>
  <si>
    <t>Maquinaria, instal·lacions tècniques i utillatge</t>
  </si>
  <si>
    <t>Explotació mostra municipal EVAMB 2022</t>
  </si>
  <si>
    <t>Encomana de gestió Pla de Treball OHB 2022 (75%)*</t>
  </si>
  <si>
    <t>Encomana de gestió Pla de Treball OHB 2022 (25%)</t>
  </si>
  <si>
    <t>Encomana de gestió Pla del Joc 2022</t>
  </si>
  <si>
    <t>Pla Estratègic Granollers</t>
  </si>
  <si>
    <t>Ajuntament de Granollers</t>
  </si>
  <si>
    <t>Modificació crèdit</t>
  </si>
  <si>
    <t>Pressupost              actual</t>
  </si>
  <si>
    <t>Drets reconeguts 31/12/2022</t>
  </si>
  <si>
    <t>Deutors</t>
  </si>
  <si>
    <t>Ingressos (cobrat)</t>
  </si>
  <si>
    <t>Saldo</t>
  </si>
  <si>
    <t>Obligacions reconegudes 31/12/2022</t>
  </si>
  <si>
    <t>Creditors</t>
  </si>
  <si>
    <t>Depeses (pagat)</t>
  </si>
  <si>
    <t>Actius financers</t>
  </si>
  <si>
    <t>Transferències corrents</t>
  </si>
  <si>
    <t>Altres organismes autònoms i agències</t>
  </si>
  <si>
    <t>I+D  PID2021-123129NB-C43_ AGROECOLAND</t>
  </si>
  <si>
    <t>Ajuntament de l'Hospitalet de Llobregat</t>
  </si>
  <si>
    <t>Ampliació EVAMB 2022</t>
  </si>
  <si>
    <t>Mobilitat del vehicle privat a Barcelona; us social, canvi modal i impactes en el comerç local</t>
  </si>
  <si>
    <t>Altres transferències UE</t>
  </si>
  <si>
    <t>EIT Urban Mobility. Inclusify</t>
  </si>
  <si>
    <t>IVL Swedish Envirommental Research</t>
  </si>
  <si>
    <t>Subvenció línies treball vulnerabilitat urbana</t>
  </si>
  <si>
    <t>Global Entrepreneurship Monitor Catalunya 2021</t>
  </si>
  <si>
    <t>Global Entrepreneurship Monitor Catalunya 2022</t>
  </si>
  <si>
    <t>D'organismes autònoms i agències de les comunitats autònomes</t>
  </si>
  <si>
    <t>Aportació OHB 2021 (12,5%) _ Incasòl</t>
  </si>
  <si>
    <t>Aportació OHB 2022 (12,5%) _ Incasòl</t>
  </si>
  <si>
    <t>Aportació OHB 2022 (12,5%) _ Agència Habitatge Catalunya</t>
  </si>
  <si>
    <t>Subvenció OHB 2021 (25%)</t>
  </si>
  <si>
    <t>Subvenció OHB 2022 (25%)</t>
  </si>
  <si>
    <t>Aportació OHB 2021 (25%)</t>
  </si>
  <si>
    <t>Aportació OHB 2022 (25%)</t>
  </si>
  <si>
    <t>De families i institucions sense ànim de lucre</t>
  </si>
  <si>
    <t>ODESC</t>
  </si>
  <si>
    <t>CAPÍTOL 8: Actius Financers</t>
  </si>
  <si>
    <t>Pressupost Inicial</t>
  </si>
  <si>
    <t>Actius Financers</t>
  </si>
  <si>
    <t>Romanent de Tresoreria amb despesa afectada</t>
  </si>
  <si>
    <t>Romanent de Tresoreria per a despeses generals</t>
  </si>
  <si>
    <t>Despeses (pagat)</t>
  </si>
  <si>
    <t>20600</t>
  </si>
  <si>
    <t>Arrendaments d'equips per a processos d'informació</t>
  </si>
  <si>
    <t>22610</t>
  </si>
  <si>
    <t>Comunicació</t>
  </si>
  <si>
    <t>CAPÍTOL 4: Transferències corrents</t>
  </si>
  <si>
    <t>Altres subvencios a societats mercantils, entitats públiques</t>
  </si>
  <si>
    <t>46700</t>
  </si>
  <si>
    <t>A Consorcis</t>
  </si>
  <si>
    <t>63200</t>
  </si>
  <si>
    <t>Edificis i altres construccions</t>
  </si>
  <si>
    <t>RESULTAT PRESSUPOSTARI</t>
  </si>
  <si>
    <t>Concepte</t>
  </si>
  <si>
    <t xml:space="preserve">Drets  </t>
  </si>
  <si>
    <t>Obligacions</t>
  </si>
  <si>
    <t>Ajustos</t>
  </si>
  <si>
    <t xml:space="preserve">Resultat </t>
  </si>
  <si>
    <t>reconeguts</t>
  </si>
  <si>
    <t>reconegudes</t>
  </si>
  <si>
    <t>pressupostari</t>
  </si>
  <si>
    <t xml:space="preserve">     a) Operacions corrents</t>
  </si>
  <si>
    <t>1. Total operacions no financeres (a+b)</t>
  </si>
  <si>
    <t>2. Actius financers</t>
  </si>
  <si>
    <t>3. Passius Financers</t>
  </si>
  <si>
    <t>RESULTAT PRESSUPOSTARI DE L'EXERCICI</t>
  </si>
  <si>
    <t>4. (+) Crèdits gastats finançats  amb romanent de tresoreria per a despeses generals</t>
  </si>
  <si>
    <t>5. (+) Desviacions de finançament negatives de l'exercici</t>
  </si>
  <si>
    <t>6. (-) Desviacions de finançament positives de l'exercici</t>
  </si>
  <si>
    <t>RESULTAT PRESSUPOSTARI AJUSTAT</t>
  </si>
  <si>
    <t>ROMANENT DE TRESORERIA</t>
  </si>
  <si>
    <t>Component</t>
  </si>
  <si>
    <t>Total</t>
  </si>
  <si>
    <t>1. (+) Fons líquids</t>
  </si>
  <si>
    <t>2. (+) Drets pendents de cobrament</t>
  </si>
  <si>
    <t xml:space="preserve">           '- (+) del pressupost corrent</t>
  </si>
  <si>
    <t xml:space="preserve">           '- (+) de pressupostos tancats</t>
  </si>
  <si>
    <t xml:space="preserve">           '- (+) d'operacions no pressupostàries</t>
  </si>
  <si>
    <t>3. (+) Obligacions pendents de pagament</t>
  </si>
  <si>
    <t>4.Partides pendents d'aplicació</t>
  </si>
  <si>
    <t xml:space="preserve">           '- (-) cobraments realitzats pendents d'aplicació definitiva</t>
  </si>
  <si>
    <t xml:space="preserve">           '- (+) pagaments realitzats pendents d'aplicació definitiva</t>
  </si>
  <si>
    <t>I. Romanent de tresoreria total (1+2-3)</t>
  </si>
  <si>
    <t>II. Saldos de dubtós cobrament</t>
  </si>
  <si>
    <t>III. Excés de finançament afectat</t>
  </si>
  <si>
    <t>IV. Romanent de tresoreria per a despeses generals (I-II-III)</t>
  </si>
  <si>
    <t>ECV 2021</t>
  </si>
  <si>
    <t xml:space="preserve">I+D AGROECOSCALING </t>
  </si>
  <si>
    <t>MAF4SURE - Agencia Estatal Investigació</t>
  </si>
  <si>
    <t xml:space="preserve">     b) Operacions de capital</t>
  </si>
  <si>
    <t>PREVISIÓ ESTAT DE DESPESES: Programa: 462</t>
  </si>
  <si>
    <t>LIQUIDACIÓ PRESSUPOST IERMB 2022</t>
  </si>
  <si>
    <t>Desp. Ant. 2023: 221.885,10 €   /        Ing.ant. 2022: 413.686,67 €</t>
  </si>
  <si>
    <t>Ing. Ant. 2023: 584.468,28 €   /                 Prev. Ing. 2021: 270.160,33 €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</si>
</sst>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0;\-#,###,##0.00;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84">
    <xf numFmtId="0" fontId="0" fillId="0" borderId="0" xfId="0"/>
    <xf numFmtId="49" fontId="0" fillId="0" borderId="0" xfId="0" applyNumberFormat="1" applyAlignment="1">
      <alignment horizontal="right"/>
    </xf>
    <xf numFmtId="0" fontId="1" fillId="0" borderId="0" xfId="0" applyFont="1"/>
    <xf numFmtId="1" fontId="0" fillId="0" borderId="0" xfId="0" applyNumberFormat="1" applyAlignment="1">
      <alignment horizontal="right"/>
    </xf>
    <xf numFmtId="4" fontId="2" fillId="0" borderId="0" xfId="0" applyNumberFormat="1" applyFont="1" applyAlignment="1">
      <alignment horizontal="left"/>
    </xf>
    <xf numFmtId="0" fontId="0" fillId="0" borderId="2" xfId="0" applyBorder="1"/>
    <xf numFmtId="0" fontId="5" fillId="0" borderId="2" xfId="0" applyFont="1" applyBorder="1"/>
    <xf numFmtId="0" fontId="0" fillId="0" borderId="0" xfId="0" applyAlignment="1">
      <alignment horizontal="right"/>
    </xf>
    <xf numFmtId="0" fontId="0" fillId="2" borderId="5" xfId="0" applyFill="1" applyBorder="1"/>
    <xf numFmtId="4" fontId="5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6" xfId="0" applyFont="1" applyBorder="1"/>
    <xf numFmtId="4" fontId="3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8" fillId="0" borderId="0" xfId="0" applyFont="1"/>
    <xf numFmtId="4" fontId="0" fillId="0" borderId="2" xfId="0" applyNumberFormat="1" applyBorder="1"/>
    <xf numFmtId="0" fontId="10" fillId="0" borderId="0" xfId="0" applyFont="1"/>
    <xf numFmtId="4" fontId="11" fillId="0" borderId="6" xfId="0" applyNumberFormat="1" applyFont="1" applyBorder="1"/>
    <xf numFmtId="4" fontId="0" fillId="0" borderId="0" xfId="0" applyNumberFormat="1"/>
    <xf numFmtId="0" fontId="7" fillId="2" borderId="3" xfId="0" applyFont="1" applyFill="1" applyBorder="1"/>
    <xf numFmtId="0" fontId="4" fillId="0" borderId="0" xfId="0" applyFont="1"/>
    <xf numFmtId="4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1" fontId="0" fillId="0" borderId="8" xfId="0" quotePrefix="1" applyNumberFormat="1" applyBorder="1" applyAlignment="1">
      <alignment horizontal="center"/>
    </xf>
    <xf numFmtId="0" fontId="0" fillId="0" borderId="8" xfId="0" applyBorder="1"/>
    <xf numFmtId="4" fontId="0" fillId="0" borderId="12" xfId="0" applyNumberFormat="1" applyBorder="1"/>
    <xf numFmtId="3" fontId="13" fillId="3" borderId="8" xfId="0" applyNumberFormat="1" applyFont="1" applyFill="1" applyBorder="1" applyAlignment="1">
      <alignment horizontal="left"/>
    </xf>
    <xf numFmtId="0" fontId="17" fillId="3" borderId="8" xfId="0" applyFont="1" applyFill="1" applyBorder="1"/>
    <xf numFmtId="4" fontId="13" fillId="3" borderId="8" xfId="0" applyNumberFormat="1" applyFont="1" applyFill="1" applyBorder="1"/>
    <xf numFmtId="0" fontId="17" fillId="0" borderId="0" xfId="0" applyFont="1"/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/>
    <xf numFmtId="0" fontId="8" fillId="2" borderId="3" xfId="0" applyFont="1" applyFill="1" applyBorder="1"/>
    <xf numFmtId="0" fontId="8" fillId="2" borderId="5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/>
    <xf numFmtId="4" fontId="2" fillId="3" borderId="13" xfId="0" applyNumberFormat="1" applyFont="1" applyFill="1" applyBorder="1" applyAlignment="1">
      <alignment horizontal="left"/>
    </xf>
    <xf numFmtId="4" fontId="1" fillId="3" borderId="13" xfId="0" applyNumberFormat="1" applyFont="1" applyFill="1" applyBorder="1"/>
    <xf numFmtId="0" fontId="1" fillId="0" borderId="14" xfId="0" applyFont="1" applyBorder="1"/>
    <xf numFmtId="4" fontId="3" fillId="0" borderId="14" xfId="0" applyNumberFormat="1" applyFont="1" applyBorder="1" applyAlignment="1">
      <alignment horizontal="left"/>
    </xf>
    <xf numFmtId="4" fontId="1" fillId="0" borderId="14" xfId="0" applyNumberFormat="1" applyFont="1" applyBorder="1"/>
    <xf numFmtId="4" fontId="2" fillId="0" borderId="1" xfId="0" applyNumberFormat="1" applyFont="1" applyBorder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9" fillId="2" borderId="5" xfId="0" applyFont="1" applyFill="1" applyBorder="1"/>
    <xf numFmtId="0" fontId="9" fillId="0" borderId="0" xfId="0" applyFont="1"/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3" borderId="13" xfId="0" applyNumberFormat="1" applyFont="1" applyFill="1" applyBorder="1" applyAlignment="1">
      <alignment horizontal="right"/>
    </xf>
    <xf numFmtId="49" fontId="1" fillId="3" borderId="13" xfId="0" applyNumberFormat="1" applyFont="1" applyFill="1" applyBorder="1" applyAlignment="1">
      <alignment horizontal="left"/>
    </xf>
    <xf numFmtId="0" fontId="5" fillId="0" borderId="0" xfId="0" applyFont="1"/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6" fillId="0" borderId="2" xfId="0" applyNumberFormat="1" applyFont="1" applyBorder="1" applyAlignment="1">
      <alignment horizontal="left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1" fontId="1" fillId="0" borderId="14" xfId="0" quotePrefix="1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center"/>
    </xf>
    <xf numFmtId="1" fontId="1" fillId="0" borderId="6" xfId="0" quotePrefix="1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1" fontId="1" fillId="0" borderId="6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quotePrefix="1" applyNumberFormat="1" applyAlignment="1">
      <alignment horizontal="center"/>
    </xf>
    <xf numFmtId="4" fontId="8" fillId="2" borderId="4" xfId="0" applyNumberFormat="1" applyFont="1" applyFill="1" applyBorder="1"/>
    <xf numFmtId="0" fontId="1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5" fillId="0" borderId="0" xfId="0" applyNumberFormat="1" applyFont="1" applyAlignment="1">
      <alignment horizontal="left"/>
    </xf>
    <xf numFmtId="0" fontId="15" fillId="0" borderId="0" xfId="0" applyFont="1"/>
    <xf numFmtId="4" fontId="2" fillId="0" borderId="0" xfId="0" applyNumberFormat="1" applyFont="1" applyAlignment="1">
      <alignment horizontal="right"/>
    </xf>
    <xf numFmtId="4" fontId="5" fillId="0" borderId="12" xfId="0" applyNumberFormat="1" applyFont="1" applyBorder="1"/>
    <xf numFmtId="4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4" fontId="5" fillId="0" borderId="8" xfId="0" applyNumberFormat="1" applyFont="1" applyBorder="1"/>
    <xf numFmtId="0" fontId="2" fillId="0" borderId="0" xfId="0" applyFont="1" applyAlignment="1">
      <alignment horizontal="left" wrapText="1"/>
    </xf>
    <xf numFmtId="0" fontId="0" fillId="0" borderId="10" xfId="0" applyBorder="1"/>
    <xf numFmtId="0" fontId="0" fillId="0" borderId="15" xfId="0" applyBorder="1"/>
    <xf numFmtId="4" fontId="5" fillId="0" borderId="0" xfId="0" applyNumberFormat="1" applyFont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left"/>
    </xf>
    <xf numFmtId="164" fontId="18" fillId="0" borderId="0" xfId="0" applyNumberFormat="1" applyFont="1" applyAlignment="1">
      <alignment horizontal="right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49" fontId="0" fillId="0" borderId="0" xfId="0" applyNumberFormat="1" applyAlignment="1">
      <alignment horizontal="center"/>
    </xf>
    <xf numFmtId="49" fontId="0" fillId="0" borderId="17" xfId="0" applyNumberFormat="1" applyBorder="1" applyAlignment="1">
      <alignment horizontal="right"/>
    </xf>
    <xf numFmtId="4" fontId="11" fillId="0" borderId="16" xfId="0" applyNumberFormat="1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" fontId="11" fillId="0" borderId="19" xfId="0" applyNumberFormat="1" applyFont="1" applyBorder="1"/>
    <xf numFmtId="4" fontId="11" fillId="0" borderId="19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2" fillId="0" borderId="17" xfId="0" applyFont="1" applyBorder="1" applyAlignment="1">
      <alignment horizontal="left" wrapText="1"/>
    </xf>
    <xf numFmtId="0" fontId="2" fillId="0" borderId="17" xfId="0" applyFont="1" applyBorder="1" applyAlignment="1">
      <alignment horizontal="left"/>
    </xf>
    <xf numFmtId="4" fontId="5" fillId="0" borderId="17" xfId="0" applyNumberFormat="1" applyFon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20" xfId="0" applyNumberFormat="1" applyBorder="1" applyAlignment="1">
      <alignment horizontal="right"/>
    </xf>
    <xf numFmtId="4" fontId="5" fillId="0" borderId="20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1" fillId="0" borderId="6" xfId="0" applyNumberFormat="1" applyFont="1" applyBorder="1"/>
    <xf numFmtId="4" fontId="0" fillId="0" borderId="0" xfId="0" applyNumberFormat="1" applyAlignment="1">
      <alignment horizontal="right"/>
    </xf>
    <xf numFmtId="4" fontId="5" fillId="0" borderId="14" xfId="0" applyNumberFormat="1" applyFont="1" applyBorder="1" applyAlignment="1">
      <alignment horizontal="right"/>
    </xf>
    <xf numFmtId="0" fontId="12" fillId="0" borderId="0" xfId="1"/>
    <xf numFmtId="0" fontId="2" fillId="0" borderId="20" xfId="0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1" fontId="1" fillId="0" borderId="14" xfId="0" applyNumberFormat="1" applyFont="1" applyBorder="1" applyAlignment="1">
      <alignment horizontal="center"/>
    </xf>
    <xf numFmtId="4" fontId="11" fillId="0" borderId="6" xfId="0" applyNumberFormat="1" applyFont="1" applyBorder="1" applyAlignment="1">
      <alignment horizontal="right"/>
    </xf>
    <xf numFmtId="0" fontId="0" fillId="0" borderId="17" xfId="0" applyBorder="1"/>
    <xf numFmtId="4" fontId="8" fillId="2" borderId="5" xfId="0" applyNumberFormat="1" applyFont="1" applyFill="1" applyBorder="1"/>
    <xf numFmtId="4" fontId="1" fillId="0" borderId="4" xfId="0" applyNumberFormat="1" applyFont="1" applyBorder="1" applyAlignment="1">
      <alignment horizontal="right" vertical="center" wrapText="1"/>
    </xf>
    <xf numFmtId="4" fontId="1" fillId="0" borderId="21" xfId="0" applyNumberFormat="1" applyFont="1" applyBorder="1" applyAlignment="1">
      <alignment horizontal="right" vertical="center" wrapText="1"/>
    </xf>
    <xf numFmtId="4" fontId="5" fillId="0" borderId="2" xfId="0" applyNumberFormat="1" applyFont="1" applyBorder="1"/>
    <xf numFmtId="0" fontId="21" fillId="0" borderId="22" xfId="0" applyFont="1" applyBorder="1"/>
    <xf numFmtId="0" fontId="21" fillId="0" borderId="23" xfId="0" applyFont="1" applyBorder="1"/>
    <xf numFmtId="0" fontId="22" fillId="0" borderId="23" xfId="0" applyFont="1" applyBorder="1"/>
    <xf numFmtId="0" fontId="22" fillId="0" borderId="24" xfId="0" applyFont="1" applyBorder="1" applyAlignment="1">
      <alignment horizontal="right"/>
    </xf>
    <xf numFmtId="4" fontId="22" fillId="0" borderId="0" xfId="0" applyNumberFormat="1" applyFont="1" applyAlignment="1">
      <alignment horizontal="right"/>
    </xf>
    <xf numFmtId="0" fontId="22" fillId="0" borderId="0" xfId="0" applyFont="1"/>
    <xf numFmtId="0" fontId="20" fillId="0" borderId="15" xfId="0" applyFont="1" applyBorder="1"/>
    <xf numFmtId="0" fontId="20" fillId="0" borderId="0" xfId="0" applyFont="1"/>
    <xf numFmtId="0" fontId="0" fillId="0" borderId="25" xfId="0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25" xfId="0" applyFont="1" applyBorder="1" applyAlignment="1">
      <alignment horizontal="right"/>
    </xf>
    <xf numFmtId="4" fontId="0" fillId="0" borderId="25" xfId="0" applyNumberFormat="1" applyBorder="1" applyAlignment="1">
      <alignment horizontal="right"/>
    </xf>
    <xf numFmtId="4" fontId="0" fillId="0" borderId="26" xfId="0" applyNumberFormat="1" applyBorder="1"/>
    <xf numFmtId="4" fontId="0" fillId="0" borderId="27" xfId="0" applyNumberFormat="1" applyBorder="1" applyAlignment="1">
      <alignment horizontal="right"/>
    </xf>
    <xf numFmtId="0" fontId="23" fillId="0" borderId="15" xfId="0" applyFont="1" applyBorder="1"/>
    <xf numFmtId="0" fontId="23" fillId="0" borderId="0" xfId="0" applyFont="1"/>
    <xf numFmtId="0" fontId="0" fillId="0" borderId="15" xfId="0" applyBorder="1" applyAlignment="1">
      <alignment vertical="center"/>
    </xf>
    <xf numFmtId="4" fontId="0" fillId="0" borderId="0" xfId="0" applyNumberFormat="1" applyAlignment="1">
      <alignment vertical="center"/>
    </xf>
    <xf numFmtId="4" fontId="5" fillId="0" borderId="0" xfId="0" applyNumberFormat="1" applyFont="1" applyAlignment="1">
      <alignment vertical="center"/>
    </xf>
    <xf numFmtId="4" fontId="0" fillId="0" borderId="25" xfId="0" applyNumberFormat="1" applyBorder="1" applyAlignment="1">
      <alignment horizontal="right" vertical="center"/>
    </xf>
    <xf numFmtId="0" fontId="7" fillId="0" borderId="28" xfId="0" applyFont="1" applyBorder="1"/>
    <xf numFmtId="0" fontId="7" fillId="0" borderId="29" xfId="0" applyFont="1" applyBorder="1"/>
    <xf numFmtId="4" fontId="7" fillId="0" borderId="29" xfId="0" applyNumberFormat="1" applyFont="1" applyBorder="1"/>
    <xf numFmtId="4" fontId="7" fillId="0" borderId="9" xfId="0" applyNumberFormat="1" applyFont="1" applyBorder="1" applyAlignment="1">
      <alignment horizontal="right"/>
    </xf>
    <xf numFmtId="0" fontId="7" fillId="0" borderId="0" xfId="0" applyFont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1" fillId="0" borderId="15" xfId="0" applyFont="1" applyBorder="1"/>
    <xf numFmtId="0" fontId="0" fillId="0" borderId="25" xfId="0" applyBorder="1"/>
    <xf numFmtId="4" fontId="5" fillId="0" borderId="0" xfId="0" applyNumberFormat="1" applyFont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26" xfId="0" applyBorder="1"/>
    <xf numFmtId="14" fontId="7" fillId="2" borderId="4" xfId="0" applyNumberFormat="1" applyFont="1" applyFill="1" applyBorder="1"/>
    <xf numFmtId="4" fontId="6" fillId="0" borderId="7" xfId="0" applyNumberFormat="1" applyFont="1" applyBorder="1" applyAlignment="1">
      <alignment horizontal="left"/>
    </xf>
    <xf numFmtId="4" fontId="7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25" xfId="0" applyFont="1" applyBorder="1" applyAlignment="1">
      <alignment horizontal="right"/>
    </xf>
    <xf numFmtId="4" fontId="24" fillId="0" borderId="0" xfId="0" applyNumberFormat="1" applyFont="1" applyAlignment="1">
      <alignment horizontal="right"/>
    </xf>
    <xf numFmtId="4" fontId="2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31" xfId="0" applyNumberFormat="1" applyFont="1" applyBorder="1"/>
    <xf numFmtId="4" fontId="5" fillId="0" borderId="32" xfId="0" applyNumberFormat="1" applyFont="1" applyBorder="1"/>
    <xf numFmtId="4" fontId="5" fillId="0" borderId="26" xfId="0" applyNumberFormat="1" applyFont="1" applyBorder="1"/>
    <xf numFmtId="4" fontId="5" fillId="0" borderId="27" xfId="0" applyNumberFormat="1" applyFont="1" applyBorder="1"/>
    <xf numFmtId="4" fontId="13" fillId="0" borderId="29" xfId="0" applyNumberFormat="1" applyFont="1" applyBorder="1"/>
    <xf numFmtId="4" fontId="13" fillId="0" borderId="34" xfId="0" applyNumberFormat="1" applyFont="1" applyBorder="1"/>
    <xf numFmtId="4" fontId="11" fillId="0" borderId="0" xfId="0" applyNumberFormat="1" applyFont="1"/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5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904875</xdr:colOff>
      <xdr:row>0</xdr:row>
      <xdr:rowOff>152400</xdr:rowOff>
    </xdr:from>
    <xdr:to>
      <xdr:col>10</xdr:col>
      <xdr:colOff>5889</xdr:colOff>
      <xdr:row>3</xdr:row>
      <xdr:rowOff>166407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E47B65A-3D40-44D3-BC1B-8B3CA82B8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6325" y="152400"/>
          <a:ext cx="1221279" cy="6521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83"/>
  <sheetViews>
    <sheetView showGridLines="0" tabSelected="1" zoomScaleNormal="100" workbookViewId="0">
      <selection activeCell="B2" sqref="B2"/>
    </sheetView>
  </sheetViews>
  <sheetFormatPr defaultColWidth="11.42578125" defaultRowHeight="15" x14ac:dyDescent="0.25"/>
  <cols>
    <col min="1" max="1" width="1.85546875" customWidth="1"/>
    <col min="2" max="2" width="10.7109375" customWidth="1"/>
    <col min="3" max="3" width="34.85546875" customWidth="1"/>
    <col min="4" max="4" width="18.140625" customWidth="1"/>
    <col min="5" max="5" width="16.7109375" customWidth="1"/>
    <col min="6" max="6" width="16.85546875" customWidth="1"/>
    <col min="7" max="7" width="17.140625" customWidth="1"/>
    <col min="8" max="8" width="15.28515625" customWidth="1"/>
    <col min="9" max="9" width="16.140625" customWidth="1"/>
    <col min="10" max="10" width="15.28515625" customWidth="1"/>
    <col min="11" max="11" width="7.85546875" customWidth="1"/>
  </cols>
  <sheetData>
    <row r="1" spans="2:10" ht="15.75" thickBot="1" x14ac:dyDescent="0.3"/>
    <row r="2" spans="2:10" ht="19.5" thickBot="1" x14ac:dyDescent="0.35">
      <c r="B2" s="20" t="s">
        <v>214</v>
      </c>
      <c r="C2" s="8"/>
      <c r="D2" s="8"/>
      <c r="E2" s="8"/>
      <c r="F2" s="8"/>
      <c r="G2" s="8"/>
      <c r="H2" s="165">
        <v>44926</v>
      </c>
    </row>
    <row r="4" spans="2:10" ht="18.75" x14ac:dyDescent="0.3">
      <c r="B4" s="21" t="s">
        <v>44</v>
      </c>
    </row>
    <row r="5" spans="2:10" ht="15.75" thickBot="1" x14ac:dyDescent="0.3"/>
    <row r="6" spans="2:10" s="23" customFormat="1" ht="44.25" customHeight="1" thickBot="1" x14ac:dyDescent="0.3">
      <c r="B6" s="22" t="s">
        <v>47</v>
      </c>
      <c r="C6" s="85" t="s">
        <v>83</v>
      </c>
      <c r="D6" s="65" t="s">
        <v>160</v>
      </c>
      <c r="E6" s="84" t="s">
        <v>127</v>
      </c>
      <c r="F6" s="84" t="s">
        <v>128</v>
      </c>
      <c r="G6" s="101" t="s">
        <v>129</v>
      </c>
      <c r="H6" s="84" t="s">
        <v>130</v>
      </c>
      <c r="I6" s="102" t="s">
        <v>131</v>
      </c>
      <c r="J6" s="103" t="s">
        <v>132</v>
      </c>
    </row>
    <row r="7" spans="2:10" x14ac:dyDescent="0.25">
      <c r="B7" s="24"/>
      <c r="C7" s="25"/>
      <c r="D7" s="26"/>
      <c r="E7" s="26"/>
      <c r="F7" s="26"/>
      <c r="G7" s="56"/>
      <c r="I7" s="104"/>
      <c r="J7" s="104"/>
    </row>
    <row r="8" spans="2:10" x14ac:dyDescent="0.25">
      <c r="B8" s="27">
        <v>3</v>
      </c>
      <c r="C8" s="28" t="s">
        <v>84</v>
      </c>
      <c r="D8" s="83">
        <f>'Cap. 3 Ing. vendes'!F3</f>
        <v>966622.35999999987</v>
      </c>
      <c r="E8" s="83">
        <f>'Cap. 3 Ing. vendes'!G3</f>
        <v>117776.95000000001</v>
      </c>
      <c r="F8" s="83">
        <f>'Cap. 3 Ing. vendes'!H3</f>
        <v>1084399.31</v>
      </c>
      <c r="G8" s="83">
        <f>'Cap. 3 Ing. vendes'!I3</f>
        <v>645703.89</v>
      </c>
      <c r="H8" s="83">
        <f>'Cap. 3 Ing. vendes'!J3</f>
        <v>56308.44000000001</v>
      </c>
      <c r="I8" s="83">
        <f>'Cap. 3 Ing. vendes'!K3</f>
        <v>589395.44999999995</v>
      </c>
      <c r="J8" s="83">
        <f>'Cap. 3 Ing. vendes'!L3</f>
        <v>-438695.42000000004</v>
      </c>
    </row>
    <row r="9" spans="2:10" x14ac:dyDescent="0.25">
      <c r="B9" s="27">
        <v>4</v>
      </c>
      <c r="C9" s="28" t="s">
        <v>55</v>
      </c>
      <c r="D9" s="83">
        <f>'Cap. 4 Ing. Transf.corrents'!F3</f>
        <v>2591893</v>
      </c>
      <c r="E9" s="83">
        <f>'Cap. 4 Ing. Transf.corrents'!G3</f>
        <v>952863.37</v>
      </c>
      <c r="F9" s="83">
        <f>'Cap. 4 Ing. Transf.corrents'!H3</f>
        <v>3544756.37</v>
      </c>
      <c r="G9" s="83">
        <f>'Cap. 4 Ing. Transf.corrents'!I3</f>
        <v>4076862.06</v>
      </c>
      <c r="H9" s="83">
        <f>'Cap. 4 Ing. Transf.corrents'!J3</f>
        <v>238791.81</v>
      </c>
      <c r="I9" s="83">
        <f>'Cap. 4 Ing. Transf.corrents'!K3</f>
        <v>3838070.25</v>
      </c>
      <c r="J9" s="83">
        <f>'Cap. 4 Ing. Transf.corrents'!L3</f>
        <v>532105.69000000006</v>
      </c>
    </row>
    <row r="10" spans="2:10" x14ac:dyDescent="0.25">
      <c r="B10" s="27">
        <v>5</v>
      </c>
      <c r="C10" s="28" t="s">
        <v>56</v>
      </c>
      <c r="D10" s="29">
        <f>'Cap. 5 i Cap. 8 Ing. pat -rom.'!E3</f>
        <v>30</v>
      </c>
      <c r="E10" s="29">
        <f>'Cap. 5 i Cap. 8 Ing. pat -rom.'!F3</f>
        <v>0</v>
      </c>
      <c r="F10" s="29">
        <f>'Cap. 5 i Cap. 8 Ing. pat -rom.'!G3</f>
        <v>30</v>
      </c>
      <c r="G10" s="29">
        <f>'Cap. 5 i Cap. 8 Ing. pat -rom.'!H3</f>
        <v>0</v>
      </c>
      <c r="H10" s="29">
        <f>'Cap. 5 i Cap. 8 Ing. pat -rom.'!I3</f>
        <v>0</v>
      </c>
      <c r="I10" s="29">
        <f>'Cap. 5 i Cap. 8 Ing. pat -rom.'!J3</f>
        <v>0</v>
      </c>
      <c r="J10" s="29">
        <f>'Cap. 5 i Cap. 8 Ing. pat -rom.'!K3</f>
        <v>-30</v>
      </c>
    </row>
    <row r="11" spans="2:10" x14ac:dyDescent="0.25">
      <c r="B11" s="27">
        <v>8</v>
      </c>
      <c r="C11" s="28" t="s">
        <v>136</v>
      </c>
      <c r="D11" s="83">
        <f>'Cap. 5 i Cap. 8 Ing. pat -rom.'!E13</f>
        <v>0</v>
      </c>
      <c r="E11" s="83">
        <f>'Cap. 5 i Cap. 8 Ing. pat -rom.'!F13</f>
        <v>481216.29</v>
      </c>
      <c r="F11" s="83">
        <f>'Cap. 5 i Cap. 8 Ing. pat -rom.'!G13</f>
        <v>481216.29</v>
      </c>
      <c r="G11" s="83">
        <f>'Cap. 5 i Cap. 8 Ing. pat -rom.'!H13</f>
        <v>0</v>
      </c>
      <c r="H11" s="83">
        <f>'Cap. 5 i Cap. 8 Ing. pat -rom.'!I13</f>
        <v>0</v>
      </c>
      <c r="I11" s="83">
        <f>'Cap. 5 i Cap. 8 Ing. pat -rom.'!J13</f>
        <v>0</v>
      </c>
      <c r="J11" s="83">
        <f>'Cap. 5 i Cap. 8 Ing. pat -rom.'!K13</f>
        <v>-481216.29</v>
      </c>
    </row>
    <row r="12" spans="2:10" x14ac:dyDescent="0.25">
      <c r="C12" s="1"/>
    </row>
    <row r="13" spans="2:10" s="33" customFormat="1" ht="18.75" x14ac:dyDescent="0.3">
      <c r="B13" s="30" t="s">
        <v>57</v>
      </c>
      <c r="C13" s="31"/>
      <c r="D13" s="32">
        <f>SUM(D8:D12)</f>
        <v>3558545.36</v>
      </c>
      <c r="E13" s="32">
        <f t="shared" ref="E13:I13" si="0">SUM(E8:E12)</f>
        <v>1551856.61</v>
      </c>
      <c r="F13" s="32">
        <f t="shared" si="0"/>
        <v>5110401.97</v>
      </c>
      <c r="G13" s="32">
        <f t="shared" si="0"/>
        <v>4722565.95</v>
      </c>
      <c r="H13" s="32">
        <f t="shared" si="0"/>
        <v>295100.25</v>
      </c>
      <c r="I13" s="32">
        <f t="shared" si="0"/>
        <v>4427465.7</v>
      </c>
      <c r="J13" s="32">
        <f>SUM(J8:J12)</f>
        <v>-387836.01999999996</v>
      </c>
    </row>
    <row r="14" spans="2:10" x14ac:dyDescent="0.25">
      <c r="B14" s="34"/>
    </row>
    <row r="15" spans="2:10" x14ac:dyDescent="0.25">
      <c r="B15" s="34"/>
      <c r="E15" s="19"/>
    </row>
    <row r="16" spans="2:10" ht="18.75" x14ac:dyDescent="0.3">
      <c r="B16" s="21" t="s">
        <v>213</v>
      </c>
      <c r="G16" s="19"/>
      <c r="I16" s="19"/>
    </row>
    <row r="17" spans="2:10" ht="15.75" thickBot="1" x14ac:dyDescent="0.3"/>
    <row r="18" spans="2:10" s="23" customFormat="1" ht="47.25" customHeight="1" thickBot="1" x14ac:dyDescent="0.3">
      <c r="B18" s="22" t="s">
        <v>47</v>
      </c>
      <c r="C18" s="85" t="s">
        <v>83</v>
      </c>
      <c r="D18" s="65" t="s">
        <v>160</v>
      </c>
      <c r="E18" s="84" t="s">
        <v>127</v>
      </c>
      <c r="F18" s="84" t="s">
        <v>128</v>
      </c>
      <c r="G18" s="101" t="s">
        <v>133</v>
      </c>
      <c r="H18" s="84" t="s">
        <v>134</v>
      </c>
      <c r="I18" s="102" t="s">
        <v>135</v>
      </c>
      <c r="J18" s="103" t="s">
        <v>132</v>
      </c>
    </row>
    <row r="19" spans="2:10" x14ac:dyDescent="0.25">
      <c r="B19" s="24"/>
      <c r="C19" s="25"/>
      <c r="D19" s="35"/>
      <c r="E19" s="35"/>
      <c r="F19" s="35"/>
    </row>
    <row r="20" spans="2:10" x14ac:dyDescent="0.25">
      <c r="B20" s="27">
        <v>1</v>
      </c>
      <c r="C20" s="28" t="s">
        <v>85</v>
      </c>
      <c r="D20" s="86">
        <f>'Cap. 1 Desp. Personal'!F3</f>
        <v>2630008.7247600006</v>
      </c>
      <c r="E20" s="86">
        <f>'Cap. 1 Desp. Personal'!G3</f>
        <v>796196.69000000006</v>
      </c>
      <c r="F20" s="86">
        <f>'Cap. 1 Desp. Personal'!H3</f>
        <v>3426205.414760001</v>
      </c>
      <c r="G20" s="86">
        <f>'Cap. 1 Desp. Personal'!I3</f>
        <v>3151152.7600000002</v>
      </c>
      <c r="H20" s="86">
        <f>'Cap. 1 Desp. Personal'!J3</f>
        <v>0</v>
      </c>
      <c r="I20" s="86">
        <f>'Cap. 1 Desp. Personal'!K3</f>
        <v>3151152.7600000002</v>
      </c>
      <c r="J20" s="86">
        <f>'Cap. 1 Desp. Personal'!L3</f>
        <v>275052.65476000094</v>
      </c>
    </row>
    <row r="21" spans="2:10" x14ac:dyDescent="0.25">
      <c r="B21" s="27">
        <v>2</v>
      </c>
      <c r="C21" s="28" t="s">
        <v>58</v>
      </c>
      <c r="D21" s="86">
        <f>'Cap. 2 Desp.Corrents'!F3</f>
        <v>916106.64</v>
      </c>
      <c r="E21" s="86">
        <f>'Cap. 2 Desp.Corrents'!G3</f>
        <v>658031.2300000001</v>
      </c>
      <c r="F21" s="86">
        <f>'Cap. 2 Desp.Corrents'!H3</f>
        <v>1574137.8699999999</v>
      </c>
      <c r="G21" s="86">
        <f>'Cap. 2 Desp.Corrents'!I3</f>
        <v>1261252.98</v>
      </c>
      <c r="H21" s="86">
        <f>'Cap. 2 Desp.Corrents'!J3</f>
        <v>378976.65999999992</v>
      </c>
      <c r="I21" s="86">
        <f>'Cap. 2 Desp.Corrents'!K3</f>
        <v>882276.32</v>
      </c>
      <c r="J21" s="86">
        <f>'Cap. 2 Desp.Corrents'!L3</f>
        <v>312884.89000000013</v>
      </c>
    </row>
    <row r="22" spans="2:10" x14ac:dyDescent="0.25">
      <c r="B22" s="27">
        <v>3</v>
      </c>
      <c r="C22" s="28" t="s">
        <v>59</v>
      </c>
      <c r="D22" s="86">
        <f>'Cap. 3-4-6 Df,Tc,Inv'!F3</f>
        <v>430</v>
      </c>
      <c r="E22" s="86">
        <f>'Cap. 3-4-6 Df,Tc,Inv'!G3</f>
        <v>800</v>
      </c>
      <c r="F22" s="86">
        <f>'Cap. 3-4-6 Df,Tc,Inv'!H3</f>
        <v>1230</v>
      </c>
      <c r="G22" s="86">
        <f>'Cap. 3-4-6 Df,Tc,Inv'!I3</f>
        <v>588.96</v>
      </c>
      <c r="H22" s="86">
        <f>'Cap. 3-4-6 Df,Tc,Inv'!J3</f>
        <v>0</v>
      </c>
      <c r="I22" s="86">
        <f>'Cap. 3-4-6 Df,Tc,Inv'!K3</f>
        <v>588.96</v>
      </c>
      <c r="J22" s="86">
        <f>'Cap. 3-4-6 Df,Tc,Inv'!L3</f>
        <v>641.04</v>
      </c>
    </row>
    <row r="23" spans="2:10" x14ac:dyDescent="0.25">
      <c r="B23" s="27">
        <v>4</v>
      </c>
      <c r="C23" s="28" t="s">
        <v>137</v>
      </c>
      <c r="D23" s="86">
        <f>'Cap. 3-4-6 Df,Tc,Inv'!F12</f>
        <v>0</v>
      </c>
      <c r="E23" s="86">
        <f>'Cap. 3-4-6 Df,Tc,Inv'!G12</f>
        <v>54642.8</v>
      </c>
      <c r="F23" s="86">
        <f>'Cap. 3-4-6 Df,Tc,Inv'!H12</f>
        <v>54642.8</v>
      </c>
      <c r="G23" s="86">
        <f>'Cap. 3-4-6 Df,Tc,Inv'!I12</f>
        <v>54642.8</v>
      </c>
      <c r="H23" s="86">
        <f>'Cap. 3-4-6 Df,Tc,Inv'!J12</f>
        <v>0</v>
      </c>
      <c r="I23" s="86">
        <f>'Cap. 3-4-6 Df,Tc,Inv'!K12</f>
        <v>54642.8</v>
      </c>
      <c r="J23" s="86">
        <f>'Cap. 3-4-6 Df,Tc,Inv'!L12</f>
        <v>0</v>
      </c>
    </row>
    <row r="24" spans="2:10" x14ac:dyDescent="0.25">
      <c r="B24" s="27">
        <v>6</v>
      </c>
      <c r="C24" s="28" t="s">
        <v>60</v>
      </c>
      <c r="D24" s="86">
        <f>'Cap. 3-4-6 Df,Tc,Inv'!F21</f>
        <v>12000</v>
      </c>
      <c r="E24" s="86">
        <f>'Cap. 3-4-6 Df,Tc,Inv'!G21</f>
        <v>42185.89</v>
      </c>
      <c r="F24" s="86">
        <f>'Cap. 3-4-6 Df,Tc,Inv'!H21</f>
        <v>54185.89</v>
      </c>
      <c r="G24" s="86">
        <f>'Cap. 3-4-6 Df,Tc,Inv'!I21</f>
        <v>50821.490000000005</v>
      </c>
      <c r="H24" s="86">
        <f>'Cap. 3-4-6 Df,Tc,Inv'!J21</f>
        <v>15591.940000000002</v>
      </c>
      <c r="I24" s="86">
        <f>'Cap. 3-4-6 Df,Tc,Inv'!K21</f>
        <v>35229.550000000003</v>
      </c>
      <c r="J24" s="86">
        <f>'Cap. 3-4-6 Df,Tc,Inv'!L21</f>
        <v>3364.3999999999978</v>
      </c>
    </row>
    <row r="26" spans="2:10" s="33" customFormat="1" ht="18.75" x14ac:dyDescent="0.3">
      <c r="B26" s="30" t="s">
        <v>61</v>
      </c>
      <c r="C26" s="31"/>
      <c r="D26" s="32">
        <f>SUM(D20:D25)</f>
        <v>3558545.3647600007</v>
      </c>
      <c r="E26" s="32">
        <f t="shared" ref="E26:I26" si="1">SUM(E20:E25)</f>
        <v>1551856.61</v>
      </c>
      <c r="F26" s="32">
        <f>SUM(F20:F25)</f>
        <v>5110401.9747600006</v>
      </c>
      <c r="G26" s="32">
        <f t="shared" si="1"/>
        <v>4518458.99</v>
      </c>
      <c r="H26" s="32">
        <f t="shared" si="1"/>
        <v>394568.59999999992</v>
      </c>
      <c r="I26" s="32">
        <f t="shared" si="1"/>
        <v>4123890.3899999997</v>
      </c>
      <c r="J26" s="32">
        <f>SUM(J20:J25)</f>
        <v>591942.98476000119</v>
      </c>
    </row>
    <row r="28" spans="2:10" ht="24.75" customHeight="1" x14ac:dyDescent="0.25">
      <c r="D28" s="19"/>
      <c r="E28" s="19">
        <f t="shared" ref="E28:I28" si="2">E13-E26</f>
        <v>0</v>
      </c>
      <c r="F28" s="19">
        <f t="shared" si="2"/>
        <v>-4.7600008547306061E-3</v>
      </c>
      <c r="G28" s="19">
        <f>G13-G26</f>
        <v>204106.95999999996</v>
      </c>
      <c r="H28" s="19">
        <f t="shared" si="2"/>
        <v>-99468.349999999919</v>
      </c>
      <c r="I28" s="19">
        <f t="shared" si="2"/>
        <v>303575.31000000052</v>
      </c>
      <c r="J28" s="19">
        <f>J13+J26</f>
        <v>204106.96476000122</v>
      </c>
    </row>
    <row r="29" spans="2:10" x14ac:dyDescent="0.25">
      <c r="C29" s="82"/>
      <c r="D29" s="19"/>
    </row>
    <row r="30" spans="2:10" x14ac:dyDescent="0.25">
      <c r="D30" s="19"/>
    </row>
    <row r="31" spans="2:10" x14ac:dyDescent="0.25">
      <c r="B31" s="36"/>
      <c r="D31" s="19"/>
    </row>
    <row r="32" spans="2:10" x14ac:dyDescent="0.25">
      <c r="B32" s="36"/>
    </row>
    <row r="33" spans="2:10" ht="15" customHeight="1" x14ac:dyDescent="0.25"/>
    <row r="38" spans="2:10" ht="9" customHeight="1" thickBot="1" x14ac:dyDescent="0.3"/>
    <row r="39" spans="2:10" s="135" customFormat="1" ht="18.75" x14ac:dyDescent="0.3">
      <c r="B39" s="130" t="s">
        <v>175</v>
      </c>
      <c r="C39" s="131"/>
      <c r="D39" s="132"/>
      <c r="E39" s="132"/>
      <c r="F39" s="132"/>
      <c r="G39" s="132"/>
      <c r="H39" s="132"/>
      <c r="I39" s="133"/>
      <c r="J39" s="134"/>
    </row>
    <row r="40" spans="2:10" ht="3.75" customHeight="1" x14ac:dyDescent="0.25">
      <c r="B40" s="136"/>
      <c r="C40" s="137"/>
      <c r="I40" s="138"/>
      <c r="J40" s="7"/>
    </row>
    <row r="41" spans="2:10" x14ac:dyDescent="0.25">
      <c r="B41" s="136" t="s">
        <v>176</v>
      </c>
      <c r="C41" s="137"/>
      <c r="F41" s="139" t="s">
        <v>177</v>
      </c>
      <c r="G41" s="139" t="s">
        <v>178</v>
      </c>
      <c r="H41" s="139" t="s">
        <v>179</v>
      </c>
      <c r="I41" s="140" t="s">
        <v>180</v>
      </c>
      <c r="J41" s="7"/>
    </row>
    <row r="42" spans="2:10" ht="15" customHeight="1" x14ac:dyDescent="0.25">
      <c r="B42" s="89"/>
      <c r="F42" s="139" t="s">
        <v>181</v>
      </c>
      <c r="G42" s="139" t="s">
        <v>182</v>
      </c>
      <c r="H42" s="139"/>
      <c r="I42" s="140" t="s">
        <v>183</v>
      </c>
      <c r="J42" s="7"/>
    </row>
    <row r="43" spans="2:10" ht="9" customHeight="1" x14ac:dyDescent="0.25">
      <c r="B43" s="89"/>
      <c r="F43" s="139"/>
      <c r="G43" s="139"/>
      <c r="H43" s="139"/>
      <c r="I43" s="140"/>
      <c r="J43" s="7"/>
    </row>
    <row r="44" spans="2:10" x14ac:dyDescent="0.25">
      <c r="B44" s="89" t="s">
        <v>184</v>
      </c>
      <c r="F44" s="19">
        <f>G8+G9</f>
        <v>4722565.95</v>
      </c>
      <c r="G44" s="19">
        <f>G20+G21+G22+G23</f>
        <v>4467637.5</v>
      </c>
      <c r="H44" s="19"/>
      <c r="I44" s="141">
        <f>F44-G44</f>
        <v>254928.45000000019</v>
      </c>
      <c r="J44" s="7"/>
    </row>
    <row r="45" spans="2:10" x14ac:dyDescent="0.25">
      <c r="B45" s="89" t="s">
        <v>212</v>
      </c>
      <c r="F45" s="19">
        <v>0</v>
      </c>
      <c r="G45" s="19">
        <f>G24</f>
        <v>50821.490000000005</v>
      </c>
      <c r="H45" s="19"/>
      <c r="I45" s="141">
        <f>F45-G45</f>
        <v>-50821.490000000005</v>
      </c>
      <c r="J45" s="7"/>
    </row>
    <row r="46" spans="2:10" x14ac:dyDescent="0.25">
      <c r="B46" s="89" t="s">
        <v>185</v>
      </c>
      <c r="F46" s="19">
        <f>SUM(F44:F45)</f>
        <v>4722565.95</v>
      </c>
      <c r="G46" s="19">
        <f>SUM(G44:G45)</f>
        <v>4518458.99</v>
      </c>
      <c r="H46" s="19"/>
      <c r="I46" s="141">
        <f>F46-G46</f>
        <v>204106.95999999996</v>
      </c>
      <c r="J46" s="7"/>
    </row>
    <row r="47" spans="2:10" x14ac:dyDescent="0.25">
      <c r="B47" s="89" t="s">
        <v>186</v>
      </c>
      <c r="F47" s="19">
        <f>I69</f>
        <v>0</v>
      </c>
      <c r="G47" s="19">
        <v>0</v>
      </c>
      <c r="H47" s="19"/>
      <c r="I47" s="141">
        <f>F47-G47</f>
        <v>0</v>
      </c>
      <c r="J47" s="7"/>
    </row>
    <row r="48" spans="2:10" x14ac:dyDescent="0.25">
      <c r="B48" s="89" t="s">
        <v>187</v>
      </c>
      <c r="F48" s="19">
        <v>0</v>
      </c>
      <c r="G48" s="19">
        <v>0</v>
      </c>
      <c r="H48" s="19"/>
      <c r="I48" s="141">
        <f>F48-G48</f>
        <v>0</v>
      </c>
      <c r="J48" s="7"/>
    </row>
    <row r="49" spans="2:12" ht="10.5" customHeight="1" x14ac:dyDescent="0.25">
      <c r="B49" s="89"/>
      <c r="F49" s="142"/>
      <c r="G49" s="142"/>
      <c r="H49" s="19"/>
      <c r="I49" s="143"/>
      <c r="J49" s="7"/>
    </row>
    <row r="50" spans="2:12" x14ac:dyDescent="0.25">
      <c r="B50" s="89" t="s">
        <v>188</v>
      </c>
      <c r="F50" s="19">
        <f>SUM(F46:F48)</f>
        <v>4722565.95</v>
      </c>
      <c r="G50" s="19">
        <f>SUM(G46:G48)</f>
        <v>4518458.99</v>
      </c>
      <c r="H50" s="19"/>
      <c r="I50" s="141">
        <f>F50-G50</f>
        <v>204106.95999999996</v>
      </c>
      <c r="J50" s="7"/>
    </row>
    <row r="51" spans="2:12" ht="9.75" customHeight="1" x14ac:dyDescent="0.25">
      <c r="B51" s="89"/>
      <c r="F51" s="19"/>
      <c r="G51" s="19"/>
      <c r="H51" s="19"/>
      <c r="I51" s="141"/>
      <c r="J51" s="7"/>
    </row>
    <row r="52" spans="2:12" x14ac:dyDescent="0.25">
      <c r="B52" s="144" t="s">
        <v>179</v>
      </c>
      <c r="C52" s="145"/>
      <c r="F52" s="19"/>
      <c r="G52" s="19"/>
      <c r="H52" s="19"/>
      <c r="I52" s="141"/>
      <c r="J52" s="7"/>
      <c r="L52" s="19"/>
    </row>
    <row r="53" spans="2:12" x14ac:dyDescent="0.25">
      <c r="B53" s="146" t="s">
        <v>189</v>
      </c>
      <c r="C53" s="107"/>
      <c r="D53" s="107"/>
      <c r="E53" s="107"/>
      <c r="F53" s="147"/>
      <c r="G53" s="147"/>
      <c r="H53" s="148">
        <v>3937.11</v>
      </c>
      <c r="I53" s="149"/>
      <c r="J53" s="90"/>
      <c r="K53" s="56"/>
    </row>
    <row r="54" spans="2:12" ht="25.15" customHeight="1" x14ac:dyDescent="0.25">
      <c r="B54" s="146" t="s">
        <v>190</v>
      </c>
      <c r="C54" s="107"/>
      <c r="D54" s="107"/>
      <c r="E54" s="107"/>
      <c r="F54" s="147"/>
      <c r="G54" s="147"/>
      <c r="H54" s="148">
        <f>221885.1+413686.67</f>
        <v>635571.77</v>
      </c>
      <c r="I54" s="149"/>
      <c r="J54" s="180" t="s">
        <v>215</v>
      </c>
      <c r="K54" s="181"/>
    </row>
    <row r="55" spans="2:12" ht="26.25" customHeight="1" x14ac:dyDescent="0.25">
      <c r="B55" s="146" t="s">
        <v>191</v>
      </c>
      <c r="C55" s="107"/>
      <c r="D55" s="107"/>
      <c r="E55" s="107"/>
      <c r="F55" s="147"/>
      <c r="G55" s="147"/>
      <c r="H55" s="148">
        <f>584468.28+270160.33</f>
        <v>854628.6100000001</v>
      </c>
      <c r="I55" s="149">
        <f>H53+H54-H55</f>
        <v>-215119.7300000001</v>
      </c>
      <c r="J55" s="182" t="s">
        <v>216</v>
      </c>
      <c r="K55" s="183"/>
    </row>
    <row r="56" spans="2:12" ht="4.5" customHeight="1" thickBot="1" x14ac:dyDescent="0.3">
      <c r="B56" s="89"/>
      <c r="F56" s="19"/>
      <c r="G56" s="19"/>
      <c r="H56" s="19"/>
      <c r="I56" s="141"/>
      <c r="J56" s="7"/>
    </row>
    <row r="57" spans="2:12" s="154" customFormat="1" ht="19.5" thickBot="1" x14ac:dyDescent="0.35">
      <c r="B57" s="150" t="s">
        <v>192</v>
      </c>
      <c r="C57" s="151"/>
      <c r="D57" s="151"/>
      <c r="E57" s="151"/>
      <c r="F57" s="152"/>
      <c r="G57" s="152"/>
      <c r="H57" s="152"/>
      <c r="I57" s="153">
        <f>I50+I55</f>
        <v>-11012.770000000135</v>
      </c>
      <c r="J57" s="167"/>
    </row>
    <row r="58" spans="2:12" ht="15.75" thickBot="1" x14ac:dyDescent="0.3"/>
    <row r="59" spans="2:12" ht="8.25" customHeight="1" x14ac:dyDescent="0.25">
      <c r="B59" s="155"/>
      <c r="C59" s="156"/>
      <c r="D59" s="156"/>
      <c r="E59" s="156"/>
      <c r="F59" s="156"/>
      <c r="G59" s="157"/>
    </row>
    <row r="60" spans="2:12" ht="18.75" x14ac:dyDescent="0.3">
      <c r="B60" s="158" t="s">
        <v>193</v>
      </c>
      <c r="C60" s="137"/>
      <c r="G60" s="159"/>
    </row>
    <row r="61" spans="2:12" ht="6.75" customHeight="1" x14ac:dyDescent="0.25">
      <c r="B61" s="136"/>
      <c r="C61" s="137"/>
      <c r="G61" s="159"/>
    </row>
    <row r="62" spans="2:12" x14ac:dyDescent="0.25">
      <c r="B62" s="136" t="s">
        <v>194</v>
      </c>
      <c r="C62" s="137"/>
      <c r="F62" s="168"/>
      <c r="G62" s="169" t="s">
        <v>195</v>
      </c>
    </row>
    <row r="63" spans="2:12" ht="5.65" customHeight="1" x14ac:dyDescent="0.25">
      <c r="B63" s="89"/>
      <c r="F63" s="168"/>
      <c r="G63" s="169"/>
    </row>
    <row r="64" spans="2:12" x14ac:dyDescent="0.25">
      <c r="B64" s="89" t="s">
        <v>196</v>
      </c>
      <c r="F64" s="170"/>
      <c r="G64" s="171">
        <v>1256910.6499999999</v>
      </c>
    </row>
    <row r="65" spans="2:7" x14ac:dyDescent="0.25">
      <c r="B65" s="89" t="s">
        <v>197</v>
      </c>
      <c r="F65" s="160"/>
      <c r="G65" s="172">
        <f>SUM(F66:F68)</f>
        <v>299148.36</v>
      </c>
    </row>
    <row r="66" spans="2:7" x14ac:dyDescent="0.25">
      <c r="B66" s="89" t="s">
        <v>198</v>
      </c>
      <c r="F66" s="160">
        <v>295100.25</v>
      </c>
      <c r="G66" s="172"/>
    </row>
    <row r="67" spans="2:7" x14ac:dyDescent="0.25">
      <c r="B67" s="89" t="s">
        <v>199</v>
      </c>
      <c r="F67" s="160">
        <v>0</v>
      </c>
      <c r="G67" s="172"/>
    </row>
    <row r="68" spans="2:7" x14ac:dyDescent="0.25">
      <c r="B68" s="89" t="s">
        <v>200</v>
      </c>
      <c r="F68" s="160">
        <v>4048.11</v>
      </c>
      <c r="G68" s="172"/>
    </row>
    <row r="69" spans="2:7" x14ac:dyDescent="0.25">
      <c r="B69" s="89" t="s">
        <v>201</v>
      </c>
      <c r="F69" s="160"/>
      <c r="G69" s="172">
        <f>SUM(F70:F72)</f>
        <v>607230.79</v>
      </c>
    </row>
    <row r="70" spans="2:7" x14ac:dyDescent="0.25">
      <c r="B70" s="89" t="s">
        <v>198</v>
      </c>
      <c r="F70" s="160">
        <v>394568.6</v>
      </c>
      <c r="G70" s="172"/>
    </row>
    <row r="71" spans="2:7" x14ac:dyDescent="0.25">
      <c r="B71" s="89" t="s">
        <v>199</v>
      </c>
      <c r="F71" s="160">
        <v>0</v>
      </c>
      <c r="G71" s="172"/>
    </row>
    <row r="72" spans="2:7" x14ac:dyDescent="0.25">
      <c r="B72" s="89" t="s">
        <v>200</v>
      </c>
      <c r="F72" s="160">
        <v>212662.19</v>
      </c>
      <c r="G72" s="172"/>
    </row>
    <row r="73" spans="2:7" x14ac:dyDescent="0.25">
      <c r="B73" s="89" t="s">
        <v>202</v>
      </c>
      <c r="F73" s="160"/>
      <c r="G73" s="172">
        <f>SUM(F74:F75)</f>
        <v>0</v>
      </c>
    </row>
    <row r="74" spans="2:7" x14ac:dyDescent="0.25">
      <c r="B74" s="89" t="s">
        <v>203</v>
      </c>
      <c r="F74" s="160">
        <v>0</v>
      </c>
      <c r="G74" s="172"/>
    </row>
    <row r="75" spans="2:7" x14ac:dyDescent="0.25">
      <c r="B75" s="89" t="s">
        <v>204</v>
      </c>
      <c r="F75" s="160">
        <v>0</v>
      </c>
      <c r="G75" s="172"/>
    </row>
    <row r="76" spans="2:7" x14ac:dyDescent="0.25">
      <c r="B76" s="89"/>
      <c r="F76" s="160"/>
      <c r="G76" s="172"/>
    </row>
    <row r="77" spans="2:7" x14ac:dyDescent="0.25">
      <c r="B77" s="89" t="s">
        <v>205</v>
      </c>
      <c r="F77" s="160"/>
      <c r="G77" s="172">
        <f>G64+G65-G69+G73</f>
        <v>948828.21999999974</v>
      </c>
    </row>
    <row r="78" spans="2:7" x14ac:dyDescent="0.25">
      <c r="B78" s="89"/>
      <c r="F78" s="160"/>
      <c r="G78" s="172"/>
    </row>
    <row r="79" spans="2:7" x14ac:dyDescent="0.25">
      <c r="B79" s="161" t="s">
        <v>206</v>
      </c>
      <c r="C79" s="162"/>
      <c r="D79" s="162"/>
      <c r="E79" s="162"/>
      <c r="F79" s="173"/>
      <c r="G79" s="174">
        <v>0</v>
      </c>
    </row>
    <row r="80" spans="2:7" x14ac:dyDescent="0.25">
      <c r="B80" s="163" t="s">
        <v>207</v>
      </c>
      <c r="C80" s="164"/>
      <c r="D80" s="164"/>
      <c r="E80" s="164"/>
      <c r="F80" s="175"/>
      <c r="G80" s="176">
        <v>584468.28</v>
      </c>
    </row>
    <row r="81" spans="2:8" ht="5.25" customHeight="1" x14ac:dyDescent="0.25">
      <c r="B81" s="89"/>
      <c r="F81" s="160"/>
      <c r="G81" s="172"/>
    </row>
    <row r="82" spans="2:8" ht="19.5" thickBot="1" x14ac:dyDescent="0.35">
      <c r="B82" s="150" t="s">
        <v>208</v>
      </c>
      <c r="C82" s="151"/>
      <c r="D82" s="151"/>
      <c r="E82" s="151"/>
      <c r="F82" s="177"/>
      <c r="G82" s="178">
        <f>G77-G79-G80</f>
        <v>364359.93999999971</v>
      </c>
      <c r="H82" s="154"/>
    </row>
    <row r="83" spans="2:8" x14ac:dyDescent="0.25">
      <c r="F83" s="56"/>
      <c r="G83" s="56"/>
    </row>
  </sheetData>
  <mergeCells count="2">
    <mergeCell ref="J54:K54"/>
    <mergeCell ref="J55:K55"/>
  </mergeCells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&amp;CLiquidació pressupost 2022 IERMB _ 31/12/2022&amp;R1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38"/>
  <sheetViews>
    <sheetView showGridLines="0" zoomScaleNormal="100" workbookViewId="0">
      <selection activeCell="B3" sqref="B3"/>
    </sheetView>
  </sheetViews>
  <sheetFormatPr defaultColWidth="11.42578125" defaultRowHeight="15" x14ac:dyDescent="0.25"/>
  <cols>
    <col min="1" max="1" width="1.85546875" customWidth="1"/>
    <col min="2" max="2" width="7.7109375" customWidth="1"/>
    <col min="3" max="3" width="2.42578125" customWidth="1"/>
    <col min="4" max="4" width="34.28515625" customWidth="1"/>
    <col min="5" max="5" width="24.85546875" customWidth="1"/>
    <col min="6" max="6" width="13.28515625" customWidth="1"/>
    <col min="7" max="7" width="14.5703125" customWidth="1"/>
    <col min="8" max="8" width="15" customWidth="1"/>
    <col min="9" max="9" width="13.85546875" customWidth="1"/>
    <col min="10" max="10" width="13.5703125" customWidth="1"/>
    <col min="11" max="11" width="12.85546875" bestFit="1" customWidth="1"/>
    <col min="12" max="12" width="13.5703125" customWidth="1"/>
  </cols>
  <sheetData>
    <row r="2" spans="1:12" ht="15.75" thickBot="1" x14ac:dyDescent="0.3"/>
    <row r="3" spans="1:12" s="15" customFormat="1" ht="18" thickBot="1" x14ac:dyDescent="0.35">
      <c r="A3" s="37" t="s">
        <v>101</v>
      </c>
      <c r="B3" s="38"/>
      <c r="C3" s="38"/>
      <c r="D3" s="38"/>
      <c r="E3" s="38"/>
      <c r="F3" s="73">
        <f t="shared" ref="F3:L3" si="0">F7</f>
        <v>966622.35999999987</v>
      </c>
      <c r="G3" s="73">
        <f t="shared" si="0"/>
        <v>117776.95000000001</v>
      </c>
      <c r="H3" s="73">
        <f t="shared" si="0"/>
        <v>1084399.31</v>
      </c>
      <c r="I3" s="73">
        <f t="shared" si="0"/>
        <v>645703.89</v>
      </c>
      <c r="J3" s="73">
        <f t="shared" si="0"/>
        <v>56308.44000000001</v>
      </c>
      <c r="K3" s="73">
        <f t="shared" si="0"/>
        <v>589395.44999999995</v>
      </c>
      <c r="L3" s="73">
        <f t="shared" si="0"/>
        <v>-438695.42000000004</v>
      </c>
    </row>
    <row r="4" spans="1:12" ht="15.75" thickBot="1" x14ac:dyDescent="0.3"/>
    <row r="5" spans="1:12" s="23" customFormat="1" ht="42" customHeight="1" thickBot="1" x14ac:dyDescent="0.3">
      <c r="A5" s="39"/>
      <c r="B5" s="22" t="s">
        <v>62</v>
      </c>
      <c r="C5" s="62"/>
      <c r="D5" s="69" t="s">
        <v>3</v>
      </c>
      <c r="E5" s="63"/>
      <c r="F5" s="65" t="s">
        <v>160</v>
      </c>
      <c r="G5" s="84" t="s">
        <v>127</v>
      </c>
      <c r="H5" s="84" t="s">
        <v>128</v>
      </c>
      <c r="I5" s="101" t="s">
        <v>129</v>
      </c>
      <c r="J5" s="84" t="s">
        <v>130</v>
      </c>
      <c r="K5" s="102" t="s">
        <v>131</v>
      </c>
      <c r="L5" s="103" t="s">
        <v>132</v>
      </c>
    </row>
    <row r="6" spans="1:12" x14ac:dyDescent="0.25">
      <c r="B6" s="24"/>
      <c r="C6" s="25"/>
      <c r="D6" s="4"/>
      <c r="E6" s="4"/>
      <c r="F6" s="26"/>
    </row>
    <row r="7" spans="1:12" ht="15.75" thickBot="1" x14ac:dyDescent="0.3">
      <c r="B7" s="41">
        <v>3</v>
      </c>
      <c r="C7" s="42" t="s">
        <v>84</v>
      </c>
      <c r="D7" s="43"/>
      <c r="E7" s="43"/>
      <c r="F7" s="44">
        <f>F9+F8+F19+F23</f>
        <v>966622.35999999987</v>
      </c>
      <c r="G7" s="44">
        <f t="shared" ref="G7:L7" si="1">G9+G8+G19+G23</f>
        <v>117776.95000000001</v>
      </c>
      <c r="H7" s="44">
        <f t="shared" si="1"/>
        <v>1084399.31</v>
      </c>
      <c r="I7" s="44">
        <f t="shared" si="1"/>
        <v>645703.89</v>
      </c>
      <c r="J7" s="44">
        <f t="shared" si="1"/>
        <v>56308.44000000001</v>
      </c>
      <c r="K7" s="44">
        <f t="shared" si="1"/>
        <v>589395.44999999995</v>
      </c>
      <c r="L7" s="44">
        <f t="shared" si="1"/>
        <v>-438695.42000000004</v>
      </c>
    </row>
    <row r="8" spans="1:12" s="2" customFormat="1" ht="15.75" thickTop="1" x14ac:dyDescent="0.25">
      <c r="B8" s="68">
        <v>36001</v>
      </c>
      <c r="C8" s="12" t="s">
        <v>4</v>
      </c>
      <c r="D8" s="13"/>
      <c r="E8" s="13"/>
      <c r="F8" s="18">
        <v>150</v>
      </c>
      <c r="G8" s="18">
        <v>0</v>
      </c>
      <c r="H8" s="18">
        <f>F8+G8</f>
        <v>150</v>
      </c>
      <c r="I8" s="105">
        <v>14.42</v>
      </c>
      <c r="J8" s="106">
        <f>I8-K8</f>
        <v>0</v>
      </c>
      <c r="K8" s="105">
        <v>14.42</v>
      </c>
      <c r="L8" s="106">
        <f>I8-H8</f>
        <v>-135.58000000000001</v>
      </c>
    </row>
    <row r="9" spans="1:12" x14ac:dyDescent="0.25">
      <c r="B9" s="66">
        <v>39900</v>
      </c>
      <c r="C9" s="45" t="s">
        <v>86</v>
      </c>
      <c r="D9" s="46"/>
      <c r="E9" s="46"/>
      <c r="F9" s="47">
        <f>SUM(F10:F18)</f>
        <v>966472.35999999987</v>
      </c>
      <c r="G9" s="47">
        <f t="shared" ref="G9:L9" si="2">SUM(G10:G18)</f>
        <v>89376.66</v>
      </c>
      <c r="H9" s="47">
        <f t="shared" si="2"/>
        <v>1055849.02</v>
      </c>
      <c r="I9" s="47">
        <f t="shared" si="2"/>
        <v>497638.45999999996</v>
      </c>
      <c r="J9" s="47">
        <f t="shared" si="2"/>
        <v>8608.0900000000038</v>
      </c>
      <c r="K9" s="47">
        <f t="shared" si="2"/>
        <v>489030.37</v>
      </c>
      <c r="L9" s="47">
        <f t="shared" si="2"/>
        <v>-558210.56000000006</v>
      </c>
    </row>
    <row r="10" spans="1:12" x14ac:dyDescent="0.25">
      <c r="B10" s="67"/>
      <c r="C10" s="2"/>
      <c r="D10" s="60" t="s">
        <v>110</v>
      </c>
      <c r="E10" s="61" t="s">
        <v>103</v>
      </c>
      <c r="F10" s="91">
        <v>24000</v>
      </c>
      <c r="G10" s="9">
        <v>0</v>
      </c>
      <c r="H10" s="9">
        <f>F10+G10</f>
        <v>24000</v>
      </c>
      <c r="I10" s="9">
        <v>0</v>
      </c>
      <c r="J10" s="9">
        <f>I10-K10</f>
        <v>0</v>
      </c>
      <c r="K10" s="9">
        <v>0</v>
      </c>
      <c r="L10" s="9">
        <f>I10-H10</f>
        <v>-24000</v>
      </c>
    </row>
    <row r="11" spans="1:12" x14ac:dyDescent="0.25">
      <c r="D11" s="94" t="s">
        <v>71</v>
      </c>
      <c r="E11" s="61" t="s">
        <v>48</v>
      </c>
      <c r="F11" s="16">
        <v>366000</v>
      </c>
      <c r="G11" s="9">
        <v>48293.2</v>
      </c>
      <c r="H11" s="9">
        <f>F11+G11</f>
        <v>414293.2</v>
      </c>
      <c r="I11" s="9">
        <f>42607+149124.5+73437.2+149124.5</f>
        <v>414293.2</v>
      </c>
      <c r="J11" s="9">
        <f>I11-K11</f>
        <v>0</v>
      </c>
      <c r="K11" s="9">
        <f>191731.5+73437.2+149124.5</f>
        <v>414293.2</v>
      </c>
      <c r="L11" s="9">
        <f>I11-H11</f>
        <v>0</v>
      </c>
    </row>
    <row r="12" spans="1:12" x14ac:dyDescent="0.25">
      <c r="D12" s="94" t="s">
        <v>121</v>
      </c>
      <c r="E12" s="61" t="s">
        <v>109</v>
      </c>
      <c r="F12" s="16">
        <v>10890</v>
      </c>
      <c r="G12" s="9">
        <v>0</v>
      </c>
      <c r="H12" s="9">
        <f t="shared" ref="H12:H18" si="3">F12+G12</f>
        <v>10890</v>
      </c>
      <c r="I12" s="9">
        <v>0</v>
      </c>
      <c r="J12" s="9">
        <f>I12-K12</f>
        <v>0</v>
      </c>
      <c r="K12" s="9">
        <v>0</v>
      </c>
      <c r="L12" s="9">
        <f t="shared" ref="L12" si="4">I12-H12</f>
        <v>-10890</v>
      </c>
    </row>
    <row r="13" spans="1:12" x14ac:dyDescent="0.25">
      <c r="D13" s="94" t="s">
        <v>122</v>
      </c>
      <c r="E13" s="61" t="s">
        <v>114</v>
      </c>
      <c r="F13" s="16">
        <v>341426.16</v>
      </c>
      <c r="G13" s="9">
        <v>0</v>
      </c>
      <c r="H13" s="9">
        <f>F13+G13</f>
        <v>341426.16</v>
      </c>
      <c r="I13" s="9">
        <v>0</v>
      </c>
      <c r="J13" s="9">
        <f t="shared" ref="J13" si="5">I13-K13</f>
        <v>0</v>
      </c>
      <c r="K13" s="9">
        <v>0</v>
      </c>
      <c r="L13" s="9">
        <f>I13-H13</f>
        <v>-341426.16</v>
      </c>
    </row>
    <row r="14" spans="1:12" x14ac:dyDescent="0.25">
      <c r="D14" s="94" t="s">
        <v>123</v>
      </c>
      <c r="E14" s="61" t="s">
        <v>115</v>
      </c>
      <c r="F14" s="16">
        <v>113808.72</v>
      </c>
      <c r="G14" s="9">
        <v>0</v>
      </c>
      <c r="H14" s="9">
        <f>F14+G14</f>
        <v>113808.72</v>
      </c>
      <c r="I14" s="9">
        <v>0</v>
      </c>
      <c r="J14" s="9">
        <f>I14-K14</f>
        <v>0</v>
      </c>
      <c r="K14" s="9">
        <v>0</v>
      </c>
      <c r="L14" s="9">
        <f>I14-H14</f>
        <v>-113808.72</v>
      </c>
    </row>
    <row r="15" spans="1:12" x14ac:dyDescent="0.25">
      <c r="D15" s="61" t="s">
        <v>116</v>
      </c>
      <c r="E15" s="61" t="s">
        <v>115</v>
      </c>
      <c r="F15" s="16">
        <v>25000</v>
      </c>
      <c r="G15" s="9">
        <v>0</v>
      </c>
      <c r="H15" s="9">
        <f>F15+G15</f>
        <v>25000</v>
      </c>
      <c r="I15" s="9">
        <v>0</v>
      </c>
      <c r="J15" s="9">
        <f>I15-K15</f>
        <v>0</v>
      </c>
      <c r="K15" s="9">
        <v>0</v>
      </c>
      <c r="L15" s="9">
        <f>I15-H15</f>
        <v>-25000</v>
      </c>
    </row>
    <row r="16" spans="1:12" x14ac:dyDescent="0.25">
      <c r="D16" s="61" t="s">
        <v>124</v>
      </c>
      <c r="E16" s="61" t="s">
        <v>103</v>
      </c>
      <c r="F16" s="9">
        <v>21300</v>
      </c>
      <c r="G16" s="9">
        <v>0</v>
      </c>
      <c r="H16" s="9">
        <f t="shared" si="3"/>
        <v>21300</v>
      </c>
      <c r="I16" s="9">
        <v>0</v>
      </c>
      <c r="J16" s="9">
        <f t="shared" ref="J16:J17" si="6">I16-K16</f>
        <v>0</v>
      </c>
      <c r="K16" s="9">
        <v>0</v>
      </c>
      <c r="L16" s="9">
        <f t="shared" ref="L16:L17" si="7">I16-H16</f>
        <v>-21300</v>
      </c>
    </row>
    <row r="17" spans="2:12" x14ac:dyDescent="0.25">
      <c r="D17" s="61" t="s">
        <v>125</v>
      </c>
      <c r="E17" s="61" t="s">
        <v>126</v>
      </c>
      <c r="F17" s="9">
        <v>34047.480000000003</v>
      </c>
      <c r="G17" s="9">
        <v>0</v>
      </c>
      <c r="H17" s="9">
        <f t="shared" si="3"/>
        <v>34047.480000000003</v>
      </c>
      <c r="I17" s="9">
        <v>34047.480000000003</v>
      </c>
      <c r="J17" s="9">
        <f t="shared" si="6"/>
        <v>4048.0900000000038</v>
      </c>
      <c r="K17" s="9">
        <v>29999.39</v>
      </c>
      <c r="L17" s="9">
        <f t="shared" si="7"/>
        <v>0</v>
      </c>
    </row>
    <row r="18" spans="2:12" x14ac:dyDescent="0.25">
      <c r="D18" s="166" t="s">
        <v>77</v>
      </c>
      <c r="E18" s="166" t="s">
        <v>78</v>
      </c>
      <c r="F18" s="92">
        <v>30000</v>
      </c>
      <c r="G18" s="92">
        <f>4895+14642.8+8264.46+13281.2</f>
        <v>41083.46</v>
      </c>
      <c r="H18" s="92">
        <f t="shared" si="3"/>
        <v>71083.459999999992</v>
      </c>
      <c r="I18" s="92">
        <f>49297.78</f>
        <v>49297.78</v>
      </c>
      <c r="J18" s="92">
        <f>I18-K18</f>
        <v>4560</v>
      </c>
      <c r="K18" s="92">
        <f>44737.78</f>
        <v>44737.78</v>
      </c>
      <c r="L18" s="92">
        <f>I18-H18</f>
        <v>-21785.679999999993</v>
      </c>
    </row>
    <row r="19" spans="2:12" x14ac:dyDescent="0.25">
      <c r="B19" s="68">
        <v>39901</v>
      </c>
      <c r="C19" s="12" t="s">
        <v>86</v>
      </c>
      <c r="D19" s="13"/>
      <c r="E19" s="13"/>
      <c r="F19" s="116">
        <f>SUM(F20:F22)</f>
        <v>0</v>
      </c>
      <c r="G19" s="116">
        <f t="shared" ref="G19:L19" si="8">SUM(G20:G22)</f>
        <v>0</v>
      </c>
      <c r="H19" s="116">
        <f t="shared" si="8"/>
        <v>0</v>
      </c>
      <c r="I19" s="116">
        <f t="shared" si="8"/>
        <v>118340.22</v>
      </c>
      <c r="J19" s="116">
        <f t="shared" si="8"/>
        <v>32983.680000000008</v>
      </c>
      <c r="K19" s="116">
        <f t="shared" si="8"/>
        <v>85356.54</v>
      </c>
      <c r="L19" s="116">
        <f t="shared" si="8"/>
        <v>118340.22</v>
      </c>
    </row>
    <row r="20" spans="2:12" x14ac:dyDescent="0.25">
      <c r="D20" s="94" t="s">
        <v>122</v>
      </c>
      <c r="E20" s="61" t="s">
        <v>114</v>
      </c>
      <c r="F20" s="16">
        <v>0</v>
      </c>
      <c r="G20" s="9">
        <v>0</v>
      </c>
      <c r="H20" s="9">
        <f>F20+G20</f>
        <v>0</v>
      </c>
      <c r="I20" s="9">
        <v>0</v>
      </c>
      <c r="J20" s="9">
        <f t="shared" ref="J20" si="9">I20-K20</f>
        <v>0</v>
      </c>
      <c r="K20" s="9">
        <v>0</v>
      </c>
      <c r="L20" s="9">
        <f>I20-H20</f>
        <v>0</v>
      </c>
    </row>
    <row r="21" spans="2:12" x14ac:dyDescent="0.25">
      <c r="D21" s="94" t="s">
        <v>123</v>
      </c>
      <c r="E21" s="61" t="s">
        <v>115</v>
      </c>
      <c r="F21" s="16">
        <v>0</v>
      </c>
      <c r="G21" s="9">
        <v>0</v>
      </c>
      <c r="H21" s="9">
        <f>F21+G21</f>
        <v>0</v>
      </c>
      <c r="I21" s="9">
        <v>113808.72</v>
      </c>
      <c r="J21" s="9">
        <f>I21-K21</f>
        <v>28452.180000000008</v>
      </c>
      <c r="K21" s="9">
        <v>85356.54</v>
      </c>
      <c r="L21" s="9">
        <f>I21-H21</f>
        <v>113808.72</v>
      </c>
    </row>
    <row r="22" spans="2:12" x14ac:dyDescent="0.25">
      <c r="D22" s="61" t="s">
        <v>116</v>
      </c>
      <c r="E22" s="61" t="s">
        <v>115</v>
      </c>
      <c r="F22" s="16">
        <v>0</v>
      </c>
      <c r="G22" s="9">
        <v>0</v>
      </c>
      <c r="H22" s="9">
        <f>F22+G22</f>
        <v>0</v>
      </c>
      <c r="I22" s="9">
        <v>4531.5</v>
      </c>
      <c r="J22" s="9">
        <f>I22-K22</f>
        <v>4531.5</v>
      </c>
      <c r="K22" s="9">
        <v>0</v>
      </c>
      <c r="L22" s="9">
        <f>I22-H22</f>
        <v>4531.5</v>
      </c>
    </row>
    <row r="23" spans="2:12" x14ac:dyDescent="0.25">
      <c r="B23" s="68">
        <v>39902</v>
      </c>
      <c r="C23" s="12" t="s">
        <v>86</v>
      </c>
      <c r="D23" s="13"/>
      <c r="E23" s="13"/>
      <c r="F23" s="116">
        <f t="shared" ref="F23:L23" si="10">SUM(F24:F32)</f>
        <v>0</v>
      </c>
      <c r="G23" s="116">
        <f t="shared" si="10"/>
        <v>28400.29</v>
      </c>
      <c r="H23" s="116">
        <f t="shared" si="10"/>
        <v>28400.29</v>
      </c>
      <c r="I23" s="116">
        <f t="shared" si="10"/>
        <v>29710.79</v>
      </c>
      <c r="J23" s="116">
        <f t="shared" si="10"/>
        <v>14716.67</v>
      </c>
      <c r="K23" s="116">
        <f t="shared" si="10"/>
        <v>14994.12</v>
      </c>
      <c r="L23" s="116">
        <f t="shared" si="10"/>
        <v>1310.5</v>
      </c>
    </row>
    <row r="24" spans="2:12" x14ac:dyDescent="0.25">
      <c r="D24" s="61" t="s">
        <v>77</v>
      </c>
      <c r="E24" s="61" t="s">
        <v>78</v>
      </c>
      <c r="F24" s="9">
        <v>0</v>
      </c>
      <c r="G24" s="9">
        <f>14994.12+13406.17</f>
        <v>28400.29</v>
      </c>
      <c r="H24" s="9">
        <f t="shared" ref="H24" si="11">F24+G24</f>
        <v>28400.29</v>
      </c>
      <c r="I24" s="9">
        <f>29710.79</f>
        <v>29710.79</v>
      </c>
      <c r="J24" s="9">
        <f>I24-K24</f>
        <v>14716.67</v>
      </c>
      <c r="K24" s="9">
        <v>14994.12</v>
      </c>
      <c r="L24" s="9">
        <f>I24-H24</f>
        <v>1310.5</v>
      </c>
    </row>
    <row r="25" spans="2:12" x14ac:dyDescent="0.25">
      <c r="F25" s="19"/>
    </row>
    <row r="38" ht="9" customHeight="1" x14ac:dyDescent="0.25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&amp;CLiquidació pressupost 2022 IERMB _ 31/12/2022&amp;R1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9"/>
  <sheetViews>
    <sheetView showGridLines="0" zoomScaleNormal="100" workbookViewId="0">
      <selection activeCell="B3" sqref="B3"/>
    </sheetView>
  </sheetViews>
  <sheetFormatPr defaultColWidth="11.42578125" defaultRowHeight="15" x14ac:dyDescent="0.25"/>
  <cols>
    <col min="1" max="1" width="1.85546875" customWidth="1"/>
    <col min="2" max="2" width="8.42578125" customWidth="1"/>
    <col min="3" max="3" width="7.42578125" customWidth="1"/>
    <col min="4" max="4" width="43.28515625" customWidth="1"/>
    <col min="5" max="5" width="5.140625" customWidth="1"/>
    <col min="6" max="6" width="18.140625" customWidth="1"/>
    <col min="7" max="7" width="12.85546875" bestFit="1" customWidth="1"/>
    <col min="8" max="9" width="15" bestFit="1" customWidth="1"/>
    <col min="10" max="10" width="12.85546875" bestFit="1" customWidth="1"/>
    <col min="11" max="11" width="15" bestFit="1" customWidth="1"/>
    <col min="12" max="12" width="13.7109375" bestFit="1" customWidth="1"/>
  </cols>
  <sheetData>
    <row r="2" spans="1:12" ht="15.75" customHeight="1" thickBot="1" x14ac:dyDescent="0.3"/>
    <row r="3" spans="1:12" s="15" customFormat="1" ht="18" thickBot="1" x14ac:dyDescent="0.35">
      <c r="A3" s="37" t="s">
        <v>100</v>
      </c>
      <c r="B3" s="38"/>
      <c r="C3" s="38"/>
      <c r="D3" s="38"/>
      <c r="E3" s="38"/>
      <c r="F3" s="73">
        <f>F7</f>
        <v>2591893</v>
      </c>
      <c r="G3" s="73">
        <f t="shared" ref="G3:L3" si="0">G7</f>
        <v>952863.37</v>
      </c>
      <c r="H3" s="73">
        <f t="shared" si="0"/>
        <v>3544756.37</v>
      </c>
      <c r="I3" s="73">
        <f t="shared" si="0"/>
        <v>4076862.06</v>
      </c>
      <c r="J3" s="73">
        <f t="shared" si="0"/>
        <v>238791.81</v>
      </c>
      <c r="K3" s="73">
        <f t="shared" si="0"/>
        <v>3838070.25</v>
      </c>
      <c r="L3" s="73">
        <f t="shared" si="0"/>
        <v>532105.69000000006</v>
      </c>
    </row>
    <row r="4" spans="1:12" ht="15.75" thickBot="1" x14ac:dyDescent="0.3"/>
    <row r="5" spans="1:12" s="23" customFormat="1" ht="60.75" thickBot="1" x14ac:dyDescent="0.3">
      <c r="A5" s="39"/>
      <c r="B5" s="22" t="s">
        <v>62</v>
      </c>
      <c r="C5" s="62"/>
      <c r="D5" s="69" t="s">
        <v>3</v>
      </c>
      <c r="E5" s="64"/>
      <c r="F5" s="65" t="s">
        <v>160</v>
      </c>
      <c r="G5" s="84" t="s">
        <v>127</v>
      </c>
      <c r="H5" s="84" t="s">
        <v>128</v>
      </c>
      <c r="I5" s="101" t="s">
        <v>129</v>
      </c>
      <c r="J5" s="84" t="s">
        <v>130</v>
      </c>
      <c r="K5" s="102" t="s">
        <v>131</v>
      </c>
      <c r="L5" s="103" t="s">
        <v>132</v>
      </c>
    </row>
    <row r="7" spans="1:12" ht="15.75" thickBot="1" x14ac:dyDescent="0.3">
      <c r="B7" s="41">
        <v>4</v>
      </c>
      <c r="C7" s="42" t="s">
        <v>55</v>
      </c>
      <c r="D7" s="43"/>
      <c r="E7" s="43"/>
      <c r="F7" s="44">
        <f>F8+F10+F13+F19+F26+F24+F32+F17+F37+F42</f>
        <v>2591893</v>
      </c>
      <c r="G7" s="44">
        <f t="shared" ref="G7:L7" si="1">G8+G10+G13+G19+G26+G24+G32+G17+G37+G42</f>
        <v>952863.37</v>
      </c>
      <c r="H7" s="44">
        <f>H8+H10+H13+H19+H26+H24+H32+H17+H37+H42</f>
        <v>3544756.37</v>
      </c>
      <c r="I7" s="44">
        <f t="shared" si="1"/>
        <v>4076862.06</v>
      </c>
      <c r="J7" s="44">
        <f t="shared" si="1"/>
        <v>238791.81</v>
      </c>
      <c r="K7" s="44">
        <f t="shared" si="1"/>
        <v>3838070.25</v>
      </c>
      <c r="L7" s="44">
        <f t="shared" si="1"/>
        <v>532105.69000000006</v>
      </c>
    </row>
    <row r="8" spans="1:12" ht="15.75" thickTop="1" x14ac:dyDescent="0.25">
      <c r="B8" s="70">
        <v>42190</v>
      </c>
      <c r="C8" s="12" t="s">
        <v>138</v>
      </c>
      <c r="D8" s="13"/>
      <c r="E8" s="13"/>
      <c r="F8" s="18">
        <f>SUM(F9)</f>
        <v>0</v>
      </c>
      <c r="G8" s="18">
        <f t="shared" ref="G8:L17" si="2">SUM(G9)</f>
        <v>45193.5</v>
      </c>
      <c r="H8" s="18">
        <f>SUM(H9)</f>
        <v>45193.5</v>
      </c>
      <c r="I8" s="18">
        <f t="shared" si="2"/>
        <v>45193.5</v>
      </c>
      <c r="J8" s="18">
        <f t="shared" si="2"/>
        <v>0</v>
      </c>
      <c r="K8" s="18">
        <f t="shared" si="2"/>
        <v>45193.5</v>
      </c>
      <c r="L8" s="18">
        <f t="shared" si="2"/>
        <v>0</v>
      </c>
    </row>
    <row r="9" spans="1:12" s="107" customFormat="1" x14ac:dyDescent="0.25">
      <c r="B9" s="71"/>
      <c r="C9"/>
      <c r="D9" s="10" t="s">
        <v>139</v>
      </c>
      <c r="E9" s="10"/>
      <c r="F9" s="90">
        <v>0</v>
      </c>
      <c r="G9" s="90">
        <f>45193.5</f>
        <v>45193.5</v>
      </c>
      <c r="H9" s="90">
        <f>F9+G9</f>
        <v>45193.5</v>
      </c>
      <c r="I9" s="90">
        <f>45193.5</f>
        <v>45193.5</v>
      </c>
      <c r="J9" s="91">
        <f>I9-K9</f>
        <v>0</v>
      </c>
      <c r="K9" s="90">
        <f>45193.5</f>
        <v>45193.5</v>
      </c>
      <c r="L9" s="90">
        <f>I9-H9</f>
        <v>0</v>
      </c>
    </row>
    <row r="10" spans="1:12" x14ac:dyDescent="0.25">
      <c r="B10" s="70">
        <v>45080</v>
      </c>
      <c r="C10" s="12" t="s">
        <v>5</v>
      </c>
      <c r="D10" s="13"/>
      <c r="E10" s="13"/>
      <c r="F10" s="18">
        <f>SUM(F11:F12)</f>
        <v>37500</v>
      </c>
      <c r="G10" s="18">
        <f t="shared" ref="G10:L10" si="3">SUM(G11:G12)</f>
        <v>0</v>
      </c>
      <c r="H10" s="18">
        <f t="shared" si="3"/>
        <v>37500</v>
      </c>
      <c r="I10" s="18">
        <f t="shared" si="3"/>
        <v>75000</v>
      </c>
      <c r="J10" s="18">
        <f t="shared" si="3"/>
        <v>37500</v>
      </c>
      <c r="K10" s="18">
        <f t="shared" si="3"/>
        <v>37500</v>
      </c>
      <c r="L10" s="18">
        <f t="shared" si="3"/>
        <v>37500</v>
      </c>
    </row>
    <row r="11" spans="1:12" x14ac:dyDescent="0.25">
      <c r="B11" s="71"/>
      <c r="D11" s="10" t="s">
        <v>147</v>
      </c>
      <c r="E11" s="61"/>
      <c r="F11" s="90">
        <v>0</v>
      </c>
      <c r="G11" s="90">
        <v>0</v>
      </c>
      <c r="H11" s="93">
        <f>F11+G11</f>
        <v>0</v>
      </c>
      <c r="I11" s="90">
        <v>37500</v>
      </c>
      <c r="J11" s="93">
        <v>37500</v>
      </c>
      <c r="K11" s="90">
        <v>37500</v>
      </c>
      <c r="L11" s="93">
        <f>I11-H11</f>
        <v>37500</v>
      </c>
    </row>
    <row r="12" spans="1:12" x14ac:dyDescent="0.25">
      <c r="B12" s="71"/>
      <c r="D12" s="60" t="s">
        <v>148</v>
      </c>
      <c r="E12" s="10"/>
      <c r="F12" s="114">
        <v>37500</v>
      </c>
      <c r="G12" s="113">
        <v>0</v>
      </c>
      <c r="H12" s="118">
        <f>F12+G12</f>
        <v>37500</v>
      </c>
      <c r="I12" s="114">
        <v>37500</v>
      </c>
      <c r="J12" s="90">
        <v>0</v>
      </c>
      <c r="K12" s="114">
        <v>0</v>
      </c>
      <c r="L12" s="90">
        <f>I12-H12</f>
        <v>0</v>
      </c>
    </row>
    <row r="13" spans="1:12" x14ac:dyDescent="0.25">
      <c r="B13" s="70">
        <v>45100</v>
      </c>
      <c r="C13" s="12" t="s">
        <v>149</v>
      </c>
      <c r="D13" s="13"/>
      <c r="E13" s="13"/>
      <c r="F13" s="18">
        <f>SUM(F14:F16)</f>
        <v>0</v>
      </c>
      <c r="G13" s="18">
        <f t="shared" ref="G13:L13" si="4">SUM(G14:G16)</f>
        <v>0</v>
      </c>
      <c r="H13" s="18">
        <f t="shared" si="4"/>
        <v>0</v>
      </c>
      <c r="I13" s="18">
        <f t="shared" si="4"/>
        <v>162463.08000000002</v>
      </c>
      <c r="J13" s="18">
        <f t="shared" si="4"/>
        <v>14226.089999999997</v>
      </c>
      <c r="K13" s="18">
        <f t="shared" si="4"/>
        <v>148236.99</v>
      </c>
      <c r="L13" s="18">
        <f t="shared" si="4"/>
        <v>162463.08000000002</v>
      </c>
    </row>
    <row r="14" spans="1:12" x14ac:dyDescent="0.25">
      <c r="B14" s="119"/>
      <c r="D14" s="60" t="s">
        <v>150</v>
      </c>
      <c r="E14" s="60"/>
      <c r="F14" s="110">
        <v>0</v>
      </c>
      <c r="G14" s="110">
        <v>0</v>
      </c>
      <c r="H14" s="92">
        <f>F14+G14</f>
        <v>0</v>
      </c>
      <c r="I14" s="110">
        <v>48654.36</v>
      </c>
      <c r="J14" s="110">
        <f>I14-K14</f>
        <v>0</v>
      </c>
      <c r="K14" s="110">
        <v>48654.36</v>
      </c>
      <c r="L14" s="110">
        <f>I14-H14</f>
        <v>48654.36</v>
      </c>
    </row>
    <row r="15" spans="1:12" x14ac:dyDescent="0.25">
      <c r="B15" s="119"/>
      <c r="D15" s="60" t="s">
        <v>151</v>
      </c>
      <c r="E15" s="60"/>
      <c r="F15" s="9">
        <v>0</v>
      </c>
      <c r="G15" s="9">
        <v>0</v>
      </c>
      <c r="H15" s="9">
        <f>F15+G15</f>
        <v>0</v>
      </c>
      <c r="I15" s="9">
        <v>56904.36</v>
      </c>
      <c r="J15" s="9">
        <f>I15-K15</f>
        <v>14226.089999999997</v>
      </c>
      <c r="K15" s="9">
        <f>28452.18+14226.09</f>
        <v>42678.270000000004</v>
      </c>
      <c r="L15" s="9">
        <f>I15-H15</f>
        <v>56904.36</v>
      </c>
    </row>
    <row r="16" spans="1:12" x14ac:dyDescent="0.25">
      <c r="B16" s="71"/>
      <c r="D16" s="120" t="s">
        <v>152</v>
      </c>
      <c r="E16" s="120"/>
      <c r="F16" s="9">
        <v>0</v>
      </c>
      <c r="G16" s="9">
        <v>0</v>
      </c>
      <c r="H16" s="9">
        <f>F16+G16</f>
        <v>0</v>
      </c>
      <c r="I16" s="91">
        <f>42678.27+14226.09</f>
        <v>56904.36</v>
      </c>
      <c r="J16" s="91">
        <f>I16-K16</f>
        <v>0</v>
      </c>
      <c r="K16" s="91">
        <f>42678.27+14226.09</f>
        <v>56904.36</v>
      </c>
      <c r="L16" s="91">
        <f>I16-H16</f>
        <v>56904.36</v>
      </c>
    </row>
    <row r="17" spans="2:14" x14ac:dyDescent="0.25">
      <c r="B17" s="68">
        <v>45300</v>
      </c>
      <c r="C17" s="14" t="s">
        <v>7</v>
      </c>
      <c r="D17" s="13"/>
      <c r="E17" s="13"/>
      <c r="F17" s="18">
        <f>SUM(F18:F18)</f>
        <v>21423</v>
      </c>
      <c r="G17" s="18">
        <f t="shared" si="2"/>
        <v>0</v>
      </c>
      <c r="H17" s="18">
        <f t="shared" si="2"/>
        <v>21423</v>
      </c>
      <c r="I17" s="18">
        <f t="shared" si="2"/>
        <v>21423</v>
      </c>
      <c r="J17" s="18">
        <f t="shared" si="2"/>
        <v>0</v>
      </c>
      <c r="K17" s="18">
        <f t="shared" si="2"/>
        <v>21423</v>
      </c>
      <c r="L17" s="18">
        <f t="shared" si="2"/>
        <v>0</v>
      </c>
    </row>
    <row r="18" spans="2:14" x14ac:dyDescent="0.25">
      <c r="B18" s="72"/>
      <c r="C18" s="5"/>
      <c r="D18" s="11" t="s">
        <v>50</v>
      </c>
      <c r="E18" s="11"/>
      <c r="F18" s="91">
        <v>21423</v>
      </c>
      <c r="G18" s="91">
        <v>0</v>
      </c>
      <c r="H18" s="91">
        <f>F18+G18</f>
        <v>21423</v>
      </c>
      <c r="I18" s="91">
        <v>21423</v>
      </c>
      <c r="J18" s="91">
        <f>I18-K18</f>
        <v>0</v>
      </c>
      <c r="K18" s="91">
        <v>21423</v>
      </c>
      <c r="L18" s="91">
        <f>I18-H18</f>
        <v>0</v>
      </c>
    </row>
    <row r="19" spans="2:14" x14ac:dyDescent="0.25">
      <c r="B19" s="68">
        <v>46101</v>
      </c>
      <c r="C19" s="14" t="s">
        <v>0</v>
      </c>
      <c r="D19" s="13"/>
      <c r="E19" s="13"/>
      <c r="F19" s="18">
        <f t="shared" ref="F19:H19" si="5">SUM(F20:F23)</f>
        <v>37500</v>
      </c>
      <c r="G19" s="18">
        <f t="shared" si="5"/>
        <v>80000</v>
      </c>
      <c r="H19" s="18">
        <f t="shared" si="5"/>
        <v>117500</v>
      </c>
      <c r="I19" s="18">
        <f>SUM(I20:I23)</f>
        <v>214774.77000000002</v>
      </c>
      <c r="J19" s="18">
        <f t="shared" ref="J19:L19" si="6">SUM(J20:J23)</f>
        <v>0</v>
      </c>
      <c r="K19" s="18">
        <f t="shared" si="6"/>
        <v>214774.77000000002</v>
      </c>
      <c r="L19" s="18">
        <f t="shared" si="6"/>
        <v>97274.77</v>
      </c>
    </row>
    <row r="20" spans="2:14" x14ac:dyDescent="0.25">
      <c r="B20" s="72"/>
      <c r="C20" s="1"/>
      <c r="D20" s="10" t="s">
        <v>81</v>
      </c>
      <c r="E20" s="61"/>
      <c r="F20" s="93">
        <v>37500</v>
      </c>
      <c r="G20" s="93">
        <v>0</v>
      </c>
      <c r="H20" s="93">
        <f>F20+G20</f>
        <v>37500</v>
      </c>
      <c r="I20" s="93">
        <v>37500</v>
      </c>
      <c r="J20" s="110">
        <f>I20-K20</f>
        <v>0</v>
      </c>
      <c r="K20" s="93">
        <v>37500</v>
      </c>
      <c r="L20" s="9">
        <f>I20-H20</f>
        <v>0</v>
      </c>
    </row>
    <row r="21" spans="2:14" x14ac:dyDescent="0.25">
      <c r="B21" s="72"/>
      <c r="C21" s="1"/>
      <c r="D21" s="60" t="s">
        <v>146</v>
      </c>
      <c r="E21" s="61"/>
      <c r="F21" s="91">
        <v>0</v>
      </c>
      <c r="G21" s="115">
        <v>80000</v>
      </c>
      <c r="H21" s="91">
        <f t="shared" ref="H21" si="7">F21+G21</f>
        <v>80000</v>
      </c>
      <c r="I21" s="91">
        <f>40000+20000+20000</f>
        <v>80000</v>
      </c>
      <c r="J21" s="9">
        <f>I21-K21</f>
        <v>0</v>
      </c>
      <c r="K21" s="91">
        <f>40000+20000+20000</f>
        <v>80000</v>
      </c>
      <c r="L21" s="9">
        <f t="shared" ref="L21:L23" si="8">I21-H21</f>
        <v>0</v>
      </c>
    </row>
    <row r="22" spans="2:14" x14ac:dyDescent="0.25">
      <c r="B22" s="67"/>
      <c r="C22" s="121"/>
      <c r="D22" s="60" t="s">
        <v>153</v>
      </c>
      <c r="E22" s="122"/>
      <c r="F22" s="90">
        <v>0</v>
      </c>
      <c r="G22" s="90">
        <v>0</v>
      </c>
      <c r="H22" s="90">
        <f>F22+G22</f>
        <v>0</v>
      </c>
      <c r="I22" s="90">
        <v>97274.77</v>
      </c>
      <c r="J22" s="9">
        <f>I22-K22</f>
        <v>0</v>
      </c>
      <c r="K22" s="90">
        <v>97274.77</v>
      </c>
      <c r="L22" s="9">
        <f t="shared" si="8"/>
        <v>97274.77</v>
      </c>
    </row>
    <row r="23" spans="2:14" x14ac:dyDescent="0.25">
      <c r="B23" s="72"/>
      <c r="C23" s="1"/>
      <c r="D23" s="60" t="s">
        <v>154</v>
      </c>
      <c r="E23" s="60"/>
      <c r="F23" s="114">
        <v>0</v>
      </c>
      <c r="G23" s="114">
        <v>0</v>
      </c>
      <c r="H23" s="114">
        <f>F23+G23</f>
        <v>0</v>
      </c>
      <c r="I23" s="114">
        <v>0</v>
      </c>
      <c r="J23" s="9">
        <f>I23-K23</f>
        <v>0</v>
      </c>
      <c r="K23" s="114">
        <v>0</v>
      </c>
      <c r="L23" s="9">
        <f t="shared" si="8"/>
        <v>0</v>
      </c>
    </row>
    <row r="24" spans="2:14" x14ac:dyDescent="0.25">
      <c r="B24" s="68">
        <v>46200</v>
      </c>
      <c r="C24" s="14" t="s">
        <v>140</v>
      </c>
      <c r="D24" s="13"/>
      <c r="E24" s="13"/>
      <c r="F24" s="18">
        <f>SUM(F25:F25)</f>
        <v>0</v>
      </c>
      <c r="G24" s="18">
        <f t="shared" ref="G24:L24" si="9">SUM(G25)</f>
        <v>0</v>
      </c>
      <c r="H24" s="18">
        <f t="shared" si="9"/>
        <v>0</v>
      </c>
      <c r="I24" s="18">
        <f t="shared" si="9"/>
        <v>11904</v>
      </c>
      <c r="J24" s="18">
        <f t="shared" si="9"/>
        <v>0</v>
      </c>
      <c r="K24" s="18">
        <f t="shared" si="9"/>
        <v>11904</v>
      </c>
      <c r="L24" s="18">
        <f t="shared" si="9"/>
        <v>11904</v>
      </c>
    </row>
    <row r="25" spans="2:14" x14ac:dyDescent="0.25">
      <c r="B25" s="72"/>
      <c r="C25" s="5"/>
      <c r="D25" s="11" t="s">
        <v>141</v>
      </c>
      <c r="E25" s="11"/>
      <c r="F25" s="91">
        <v>0</v>
      </c>
      <c r="G25" s="91">
        <v>0</v>
      </c>
      <c r="H25" s="91">
        <f>F25+G25</f>
        <v>0</v>
      </c>
      <c r="I25" s="91">
        <v>11904</v>
      </c>
      <c r="J25" s="91">
        <f>I25-K25</f>
        <v>0</v>
      </c>
      <c r="K25" s="91">
        <v>11904</v>
      </c>
      <c r="L25" s="91">
        <f>I25-H25</f>
        <v>11904</v>
      </c>
    </row>
    <row r="26" spans="2:14" x14ac:dyDescent="0.25">
      <c r="B26" s="68">
        <v>46201</v>
      </c>
      <c r="C26" s="14" t="s">
        <v>6</v>
      </c>
      <c r="D26" s="13"/>
      <c r="E26" s="13"/>
      <c r="F26" s="18">
        <f t="shared" ref="F26:K26" si="10">SUM(F27:F31)</f>
        <v>984095</v>
      </c>
      <c r="G26" s="116">
        <f t="shared" si="10"/>
        <v>254436.18</v>
      </c>
      <c r="H26" s="18">
        <f t="shared" si="10"/>
        <v>1238531.18</v>
      </c>
      <c r="I26" s="18">
        <f t="shared" si="10"/>
        <v>1259831.18</v>
      </c>
      <c r="J26" s="18">
        <f t="shared" si="10"/>
        <v>73257</v>
      </c>
      <c r="K26" s="18">
        <f t="shared" si="10"/>
        <v>1186574.18</v>
      </c>
      <c r="L26" s="18">
        <f>SUM(L27:L31)</f>
        <v>21300</v>
      </c>
    </row>
    <row r="27" spans="2:14" x14ac:dyDescent="0.25">
      <c r="B27" s="72"/>
      <c r="C27" s="7"/>
      <c r="D27" s="11" t="s">
        <v>49</v>
      </c>
      <c r="E27" s="11"/>
      <c r="F27" s="91">
        <v>73970</v>
      </c>
      <c r="G27" s="115">
        <v>0</v>
      </c>
      <c r="H27" s="91">
        <f>F27+G27</f>
        <v>73970</v>
      </c>
      <c r="I27" s="91">
        <v>73970</v>
      </c>
      <c r="J27" s="91">
        <f t="shared" ref="J27:J36" si="11">I27-K27</f>
        <v>0</v>
      </c>
      <c r="K27" s="91">
        <v>73970</v>
      </c>
      <c r="L27" s="91">
        <f>I27-H27</f>
        <v>0</v>
      </c>
    </row>
    <row r="28" spans="2:14" x14ac:dyDescent="0.25">
      <c r="B28" s="72"/>
      <c r="C28" s="7"/>
      <c r="D28" s="60" t="s">
        <v>104</v>
      </c>
      <c r="E28" s="61"/>
      <c r="F28" s="91">
        <f>858000+46000-303740.4-51184.5+354924.9</f>
        <v>904000</v>
      </c>
      <c r="G28" s="91">
        <f>172428.69+22602.86-11648.15-10954.71</f>
        <v>172428.69</v>
      </c>
      <c r="H28" s="91">
        <f t="shared" ref="H28:H31" si="12">F28+G28</f>
        <v>1076428.69</v>
      </c>
      <c r="I28" s="91">
        <f>549343.88+183114.62+343970.19</f>
        <v>1076428.69</v>
      </c>
      <c r="J28" s="91">
        <f t="shared" si="11"/>
        <v>0</v>
      </c>
      <c r="K28" s="91">
        <f>549343.88+183114.62+343970.19</f>
        <v>1076428.69</v>
      </c>
      <c r="L28" s="91">
        <f t="shared" ref="L28:L31" si="13">I28-H28</f>
        <v>0</v>
      </c>
    </row>
    <row r="29" spans="2:14" x14ac:dyDescent="0.25">
      <c r="B29" s="72"/>
      <c r="C29" s="7"/>
      <c r="D29" s="60" t="s">
        <v>142</v>
      </c>
      <c r="E29" s="61"/>
      <c r="F29" s="9">
        <v>0</v>
      </c>
      <c r="G29" s="9">
        <v>67132</v>
      </c>
      <c r="H29" s="9">
        <f t="shared" si="12"/>
        <v>67132</v>
      </c>
      <c r="I29" s="9">
        <v>67132</v>
      </c>
      <c r="J29" s="9">
        <f t="shared" si="11"/>
        <v>67132</v>
      </c>
      <c r="K29" s="9">
        <v>0</v>
      </c>
      <c r="L29" s="9">
        <f t="shared" si="13"/>
        <v>0</v>
      </c>
    </row>
    <row r="30" spans="2:14" x14ac:dyDescent="0.25">
      <c r="B30" s="72"/>
      <c r="C30" s="7"/>
      <c r="D30" s="60" t="s">
        <v>209</v>
      </c>
      <c r="E30" s="61"/>
      <c r="F30" s="9">
        <v>0</v>
      </c>
      <c r="G30" s="9">
        <v>0</v>
      </c>
      <c r="H30" s="9">
        <f t="shared" si="12"/>
        <v>0</v>
      </c>
      <c r="I30" s="9">
        <v>6125</v>
      </c>
      <c r="J30" s="9">
        <f t="shared" ref="J30" si="14">I30-K30</f>
        <v>6125</v>
      </c>
      <c r="K30" s="9">
        <v>0</v>
      </c>
      <c r="L30" s="9">
        <f t="shared" ref="L30" si="15">I30-H30</f>
        <v>6125</v>
      </c>
    </row>
    <row r="31" spans="2:14" x14ac:dyDescent="0.25">
      <c r="B31" s="72"/>
      <c r="C31" s="7"/>
      <c r="D31" s="87" t="s">
        <v>77</v>
      </c>
      <c r="E31" s="10"/>
      <c r="F31" s="90">
        <v>6125</v>
      </c>
      <c r="G31" s="117">
        <f>14875.49</f>
        <v>14875.49</v>
      </c>
      <c r="H31" s="91">
        <f t="shared" si="12"/>
        <v>21000.489999999998</v>
      </c>
      <c r="I31" s="90">
        <f>14875.49+21300</f>
        <v>36175.49</v>
      </c>
      <c r="J31" s="90">
        <f t="shared" si="11"/>
        <v>0</v>
      </c>
      <c r="K31" s="90">
        <f>14875.49+21300</f>
        <v>36175.49</v>
      </c>
      <c r="L31" s="91">
        <f t="shared" si="13"/>
        <v>15175</v>
      </c>
    </row>
    <row r="32" spans="2:14" x14ac:dyDescent="0.25">
      <c r="B32" s="68">
        <v>46401</v>
      </c>
      <c r="C32" s="14" t="s">
        <v>1</v>
      </c>
      <c r="D32" s="13"/>
      <c r="E32" s="13"/>
      <c r="F32" s="18">
        <f>SUM(F33:F36)</f>
        <v>1511375</v>
      </c>
      <c r="G32" s="116">
        <f t="shared" ref="G32:K32" si="16">SUM(G33:G36)</f>
        <v>449059.94</v>
      </c>
      <c r="H32" s="18">
        <f t="shared" si="16"/>
        <v>1960434.94</v>
      </c>
      <c r="I32" s="18">
        <f>SUM(I33:I36)</f>
        <v>2171552.3800000004</v>
      </c>
      <c r="J32" s="18">
        <f t="shared" si="16"/>
        <v>113808.72</v>
      </c>
      <c r="K32" s="18">
        <f t="shared" si="16"/>
        <v>2057743.6600000001</v>
      </c>
      <c r="L32" s="18">
        <f>SUM(L33:L36)</f>
        <v>211117.44</v>
      </c>
      <c r="N32" s="179"/>
    </row>
    <row r="33" spans="2:16" x14ac:dyDescent="0.25">
      <c r="B33" s="72"/>
      <c r="C33" s="100"/>
      <c r="D33" s="57" t="s">
        <v>102</v>
      </c>
      <c r="E33" s="58"/>
      <c r="F33" s="93">
        <v>1500000</v>
      </c>
      <c r="G33" s="93">
        <f>432430.53+16629.41</f>
        <v>449059.94</v>
      </c>
      <c r="H33" s="93">
        <f>F33+G33</f>
        <v>1949059.94</v>
      </c>
      <c r="I33" s="93">
        <f>255000+255000+461902.76+255000+230951.38+255000+230951.39+16629.41-11375</f>
        <v>1949059.9400000002</v>
      </c>
      <c r="J33" s="91">
        <f t="shared" si="11"/>
        <v>0</v>
      </c>
      <c r="K33" s="93">
        <f>255000+255000+461902.76+255000+230951.38+255000+230951.39+16629.41-11375</f>
        <v>1949059.9400000002</v>
      </c>
      <c r="L33" s="93">
        <f>I33-H33</f>
        <v>0</v>
      </c>
    </row>
    <row r="34" spans="2:16" x14ac:dyDescent="0.25">
      <c r="B34" s="72"/>
      <c r="D34" s="60" t="s">
        <v>155</v>
      </c>
      <c r="E34" s="60"/>
      <c r="F34" s="91">
        <v>0</v>
      </c>
      <c r="G34" s="91">
        <v>0</v>
      </c>
      <c r="H34" s="91">
        <f>F34+G34</f>
        <v>0</v>
      </c>
      <c r="I34" s="91">
        <v>97308.72</v>
      </c>
      <c r="J34" s="91">
        <f t="shared" si="11"/>
        <v>0</v>
      </c>
      <c r="K34" s="91">
        <v>97308.72</v>
      </c>
      <c r="L34" s="91">
        <f>I34-H34</f>
        <v>97308.72</v>
      </c>
    </row>
    <row r="35" spans="2:16" x14ac:dyDescent="0.25">
      <c r="B35" s="72"/>
      <c r="D35" s="60" t="s">
        <v>156</v>
      </c>
      <c r="E35" s="60"/>
      <c r="F35" s="9">
        <v>0</v>
      </c>
      <c r="G35" s="9">
        <v>0</v>
      </c>
      <c r="H35" s="9">
        <f>F35+G35</f>
        <v>0</v>
      </c>
      <c r="I35" s="91">
        <v>113808.72</v>
      </c>
      <c r="J35" s="91">
        <f t="shared" si="11"/>
        <v>113808.72</v>
      </c>
      <c r="K35" s="91">
        <v>0</v>
      </c>
      <c r="L35" s="91">
        <f>I35-H35</f>
        <v>113808.72</v>
      </c>
    </row>
    <row r="36" spans="2:16" x14ac:dyDescent="0.25">
      <c r="B36" s="72"/>
      <c r="C36" s="1"/>
      <c r="D36" s="59" t="s">
        <v>77</v>
      </c>
      <c r="E36" s="60"/>
      <c r="F36" s="9">
        <v>11375</v>
      </c>
      <c r="G36" s="112">
        <v>0</v>
      </c>
      <c r="H36" s="9">
        <f>F36+G36</f>
        <v>11375</v>
      </c>
      <c r="I36" s="9">
        <v>11375</v>
      </c>
      <c r="J36" s="91">
        <f t="shared" si="11"/>
        <v>0</v>
      </c>
      <c r="K36" s="9">
        <v>11375</v>
      </c>
      <c r="L36" s="9">
        <f>I36-H36</f>
        <v>0</v>
      </c>
    </row>
    <row r="37" spans="2:16" x14ac:dyDescent="0.25">
      <c r="B37" s="68">
        <v>48000</v>
      </c>
      <c r="C37" s="14" t="s">
        <v>157</v>
      </c>
      <c r="D37" s="13"/>
      <c r="E37" s="13"/>
      <c r="F37" s="18">
        <f>SUM(F38)</f>
        <v>0</v>
      </c>
      <c r="G37" s="18">
        <f t="shared" ref="G37:L37" si="17">SUM(G38)</f>
        <v>9453.6</v>
      </c>
      <c r="H37" s="18">
        <f t="shared" si="17"/>
        <v>9453.6</v>
      </c>
      <c r="I37" s="18">
        <f t="shared" si="17"/>
        <v>0</v>
      </c>
      <c r="J37" s="18">
        <f t="shared" si="17"/>
        <v>0</v>
      </c>
      <c r="K37" s="18">
        <f t="shared" si="17"/>
        <v>0</v>
      </c>
      <c r="L37" s="18">
        <f t="shared" si="17"/>
        <v>-9453.6</v>
      </c>
    </row>
    <row r="38" spans="2:16" ht="16.5" customHeight="1" x14ac:dyDescent="0.25">
      <c r="B38" s="72"/>
      <c r="C38" s="7"/>
      <c r="D38" s="60" t="s">
        <v>158</v>
      </c>
      <c r="E38" s="60"/>
      <c r="F38" s="93">
        <v>0</v>
      </c>
      <c r="G38" s="93">
        <v>9453.6</v>
      </c>
      <c r="H38" s="9">
        <f>F38+G38</f>
        <v>9453.6</v>
      </c>
      <c r="I38" s="93">
        <v>0</v>
      </c>
      <c r="J38" s="93">
        <f>I38-K38</f>
        <v>0</v>
      </c>
      <c r="K38" s="93">
        <v>0</v>
      </c>
      <c r="L38" s="93">
        <f>I38-H38</f>
        <v>-9453.6</v>
      </c>
    </row>
    <row r="39" spans="2:16" ht="16.5" customHeight="1" x14ac:dyDescent="0.25">
      <c r="B39" s="72"/>
      <c r="C39" s="7"/>
      <c r="D39" s="10"/>
      <c r="E39" s="10"/>
      <c r="F39" s="10"/>
      <c r="G39" s="10"/>
      <c r="H39" s="10"/>
      <c r="I39" s="10"/>
      <c r="J39" s="10"/>
      <c r="K39" s="10"/>
      <c r="L39" s="10"/>
    </row>
    <row r="40" spans="2:16" ht="16.5" customHeight="1" x14ac:dyDescent="0.25">
      <c r="B40" s="72"/>
      <c r="C40" s="7"/>
      <c r="D40" s="10"/>
      <c r="E40" s="10"/>
      <c r="F40" s="10"/>
      <c r="G40" s="10"/>
      <c r="H40" s="10"/>
      <c r="I40" s="10"/>
      <c r="J40" s="10"/>
      <c r="K40" s="10"/>
      <c r="L40" s="10"/>
    </row>
    <row r="41" spans="2:16" ht="16.5" customHeight="1" x14ac:dyDescent="0.25">
      <c r="B41" s="72"/>
      <c r="C41" s="7"/>
      <c r="D41" s="10"/>
      <c r="E41" s="10"/>
      <c r="F41" s="90"/>
      <c r="G41" s="90"/>
      <c r="H41" s="90"/>
      <c r="I41" s="90"/>
      <c r="J41" s="90"/>
      <c r="K41" s="90"/>
      <c r="L41" s="90"/>
    </row>
    <row r="42" spans="2:16" x14ac:dyDescent="0.25">
      <c r="B42" s="68">
        <v>49700</v>
      </c>
      <c r="C42" s="14" t="s">
        <v>143</v>
      </c>
      <c r="D42" s="13"/>
      <c r="E42" s="13"/>
      <c r="F42" s="18">
        <f>SUM(F43:F46)</f>
        <v>0</v>
      </c>
      <c r="G42" s="18">
        <f t="shared" ref="G42:L42" si="18">SUM(G43:G46)</f>
        <v>114720.15</v>
      </c>
      <c r="H42" s="18">
        <f t="shared" si="18"/>
        <v>114720.15</v>
      </c>
      <c r="I42" s="18">
        <f t="shared" si="18"/>
        <v>114720.15</v>
      </c>
      <c r="J42" s="18">
        <f t="shared" si="18"/>
        <v>0</v>
      </c>
      <c r="K42" s="18">
        <f t="shared" si="18"/>
        <v>114720.15</v>
      </c>
      <c r="L42" s="18">
        <f t="shared" si="18"/>
        <v>0</v>
      </c>
    </row>
    <row r="43" spans="2:16" x14ac:dyDescent="0.25">
      <c r="B43" s="72"/>
      <c r="C43" s="100"/>
      <c r="D43" s="108" t="s">
        <v>144</v>
      </c>
      <c r="E43" s="109"/>
      <c r="F43" s="110">
        <v>0</v>
      </c>
      <c r="G43" s="111">
        <f>11368.18*2</f>
        <v>22736.36</v>
      </c>
      <c r="H43" s="110">
        <f>F43+G43</f>
        <v>22736.36</v>
      </c>
      <c r="I43" s="110">
        <f>11368.18*2</f>
        <v>22736.36</v>
      </c>
      <c r="J43" s="110">
        <f>I43-K43</f>
        <v>0</v>
      </c>
      <c r="K43" s="110">
        <f>11368.18*2</f>
        <v>22736.36</v>
      </c>
      <c r="L43" s="110">
        <f>I43-H43</f>
        <v>0</v>
      </c>
    </row>
    <row r="44" spans="2:16" x14ac:dyDescent="0.25">
      <c r="B44" s="72"/>
      <c r="C44" s="1"/>
      <c r="D44" s="59" t="s">
        <v>145</v>
      </c>
      <c r="E44" s="60"/>
      <c r="F44" s="9">
        <v>0</v>
      </c>
      <c r="G44" s="112">
        <v>12477.29</v>
      </c>
      <c r="H44" s="9">
        <f>F44+G44</f>
        <v>12477.29</v>
      </c>
      <c r="I44" s="9">
        <v>12477.29</v>
      </c>
      <c r="J44" s="9">
        <f>I44-K44</f>
        <v>0</v>
      </c>
      <c r="K44" s="9">
        <v>12477.29</v>
      </c>
      <c r="L44" s="9">
        <f>I44-H44</f>
        <v>0</v>
      </c>
    </row>
    <row r="45" spans="2:16" x14ac:dyDescent="0.25">
      <c r="B45" s="72"/>
      <c r="C45" s="7"/>
      <c r="D45" s="60" t="s">
        <v>210</v>
      </c>
      <c r="E45" s="61"/>
      <c r="F45" s="91">
        <v>0</v>
      </c>
      <c r="G45" s="115">
        <v>47506.5</v>
      </c>
      <c r="H45" s="91">
        <f t="shared" ref="H45:H46" si="19">F45+G45</f>
        <v>47506.5</v>
      </c>
      <c r="I45" s="91">
        <v>47506.5</v>
      </c>
      <c r="J45" s="91">
        <f t="shared" ref="J45:J46" si="20">I45-K45</f>
        <v>0</v>
      </c>
      <c r="K45" s="91">
        <v>47506.5</v>
      </c>
      <c r="L45" s="91">
        <f t="shared" ref="L45:L46" si="21">I45-H45</f>
        <v>0</v>
      </c>
    </row>
    <row r="46" spans="2:16" x14ac:dyDescent="0.25">
      <c r="B46" s="72"/>
      <c r="C46" s="7"/>
      <c r="D46" s="59" t="s">
        <v>211</v>
      </c>
      <c r="E46" s="61"/>
      <c r="F46" s="91">
        <v>0</v>
      </c>
      <c r="G46" s="115">
        <v>32000</v>
      </c>
      <c r="H46" s="91">
        <f t="shared" si="19"/>
        <v>32000</v>
      </c>
      <c r="I46" s="91">
        <v>32000</v>
      </c>
      <c r="J46" s="91">
        <f t="shared" si="20"/>
        <v>0</v>
      </c>
      <c r="K46" s="91">
        <v>32000</v>
      </c>
      <c r="L46" s="91">
        <f t="shared" si="21"/>
        <v>0</v>
      </c>
      <c r="P46" s="107"/>
    </row>
    <row r="49" spans="10:10" x14ac:dyDescent="0.25">
      <c r="J49" s="19"/>
    </row>
  </sheetData>
  <phoneticPr fontId="19" type="noConversion"/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&amp;CLiquidació pressupost 2022 IERMB _ 31/12/2022&amp;R1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8"/>
  <sheetViews>
    <sheetView showGridLines="0" zoomScaleNormal="100" workbookViewId="0">
      <selection activeCell="B3" sqref="B3"/>
    </sheetView>
  </sheetViews>
  <sheetFormatPr defaultColWidth="11.42578125" defaultRowHeight="15" x14ac:dyDescent="0.25"/>
  <cols>
    <col min="1" max="1" width="3.42578125" customWidth="1"/>
    <col min="2" max="2" width="10.7109375" customWidth="1"/>
    <col min="3" max="3" width="8.5703125" customWidth="1"/>
    <col min="4" max="4" width="43.7109375" customWidth="1"/>
    <col min="5" max="5" width="25.7109375" customWidth="1"/>
    <col min="6" max="6" width="14.140625" customWidth="1"/>
    <col min="7" max="7" width="13.28515625" customWidth="1"/>
    <col min="11" max="11" width="13.7109375" bestFit="1" customWidth="1"/>
  </cols>
  <sheetData>
    <row r="2" spans="1:11" ht="15.75" thickBot="1" x14ac:dyDescent="0.3"/>
    <row r="3" spans="1:11" s="15" customFormat="1" ht="18" thickBot="1" x14ac:dyDescent="0.35">
      <c r="A3" s="37" t="s">
        <v>63</v>
      </c>
      <c r="B3" s="38"/>
      <c r="C3" s="38"/>
      <c r="D3" s="38"/>
      <c r="E3" s="73">
        <f>E7</f>
        <v>30</v>
      </c>
      <c r="F3" s="73">
        <f t="shared" ref="F3:K3" si="0">F7</f>
        <v>0</v>
      </c>
      <c r="G3" s="73">
        <f t="shared" si="0"/>
        <v>30</v>
      </c>
      <c r="H3" s="73">
        <f t="shared" si="0"/>
        <v>0</v>
      </c>
      <c r="I3" s="73">
        <f t="shared" si="0"/>
        <v>0</v>
      </c>
      <c r="J3" s="73">
        <f t="shared" si="0"/>
        <v>0</v>
      </c>
      <c r="K3" s="73">
        <f t="shared" si="0"/>
        <v>-30</v>
      </c>
    </row>
    <row r="4" spans="1:11" ht="15.75" thickBot="1" x14ac:dyDescent="0.3"/>
    <row r="5" spans="1:11" s="23" customFormat="1" ht="45.75" thickBot="1" x14ac:dyDescent="0.3">
      <c r="A5" s="39"/>
      <c r="B5" s="22" t="s">
        <v>62</v>
      </c>
      <c r="C5" s="62"/>
      <c r="D5" s="64" t="s">
        <v>3</v>
      </c>
      <c r="E5" s="65" t="s">
        <v>160</v>
      </c>
      <c r="F5" s="84" t="s">
        <v>127</v>
      </c>
      <c r="G5" s="84" t="s">
        <v>128</v>
      </c>
      <c r="H5" s="101" t="s">
        <v>129</v>
      </c>
      <c r="I5" s="84" t="s">
        <v>130</v>
      </c>
      <c r="J5" s="102" t="s">
        <v>131</v>
      </c>
      <c r="K5" s="103" t="s">
        <v>132</v>
      </c>
    </row>
    <row r="6" spans="1:11" x14ac:dyDescent="0.25">
      <c r="B6" s="24"/>
      <c r="C6" s="25"/>
      <c r="D6" s="4"/>
      <c r="E6" s="49"/>
    </row>
    <row r="7" spans="1:11" ht="15.75" thickBot="1" x14ac:dyDescent="0.3">
      <c r="B7" s="41">
        <v>5</v>
      </c>
      <c r="C7" s="42" t="s">
        <v>56</v>
      </c>
      <c r="D7" s="43"/>
      <c r="E7" s="44">
        <f>E8</f>
        <v>30</v>
      </c>
      <c r="F7" s="44">
        <f t="shared" ref="F7:K7" si="1">F8</f>
        <v>0</v>
      </c>
      <c r="G7" s="44">
        <f t="shared" si="1"/>
        <v>30</v>
      </c>
      <c r="H7" s="44">
        <f t="shared" si="1"/>
        <v>0</v>
      </c>
      <c r="I7" s="44">
        <f t="shared" si="1"/>
        <v>0</v>
      </c>
      <c r="J7" s="44">
        <f t="shared" si="1"/>
        <v>0</v>
      </c>
      <c r="K7" s="44">
        <f t="shared" si="1"/>
        <v>-30</v>
      </c>
    </row>
    <row r="8" spans="1:11" s="2" customFormat="1" ht="15.75" thickTop="1" x14ac:dyDescent="0.25">
      <c r="B8" s="66">
        <v>52000</v>
      </c>
      <c r="C8" s="45" t="s">
        <v>87</v>
      </c>
      <c r="D8" s="46"/>
      <c r="E8" s="47">
        <f>E9</f>
        <v>30</v>
      </c>
      <c r="F8" s="124">
        <f t="shared" ref="F8:K8" si="2">SUM(F9)</f>
        <v>0</v>
      </c>
      <c r="G8" s="124">
        <f t="shared" si="2"/>
        <v>30</v>
      </c>
      <c r="H8" s="124">
        <f t="shared" si="2"/>
        <v>0</v>
      </c>
      <c r="I8" s="124">
        <f t="shared" si="2"/>
        <v>0</v>
      </c>
      <c r="J8" s="124">
        <f t="shared" si="2"/>
        <v>0</v>
      </c>
      <c r="K8" s="124">
        <f t="shared" si="2"/>
        <v>-30</v>
      </c>
    </row>
    <row r="9" spans="1:11" x14ac:dyDescent="0.25">
      <c r="B9" s="3"/>
      <c r="C9" s="88"/>
      <c r="D9" s="48" t="s">
        <v>87</v>
      </c>
      <c r="E9" s="91">
        <v>30</v>
      </c>
      <c r="F9" s="9">
        <v>0</v>
      </c>
      <c r="G9" s="93">
        <f>E9+F9</f>
        <v>30</v>
      </c>
      <c r="H9" s="9">
        <v>0</v>
      </c>
      <c r="I9" s="93">
        <f>H9-J9</f>
        <v>0</v>
      </c>
      <c r="J9" s="9">
        <v>0</v>
      </c>
      <c r="K9" s="93">
        <f>H9-G9</f>
        <v>-30</v>
      </c>
    </row>
    <row r="12" spans="1:11" ht="15.75" thickBot="1" x14ac:dyDescent="0.3"/>
    <row r="13" spans="1:11" s="15" customFormat="1" ht="18" thickBot="1" x14ac:dyDescent="0.35">
      <c r="A13" s="37" t="s">
        <v>159</v>
      </c>
      <c r="B13" s="38"/>
      <c r="C13" s="38"/>
      <c r="D13" s="38"/>
      <c r="E13" s="73">
        <f t="shared" ref="E13:K13" si="3">E17</f>
        <v>0</v>
      </c>
      <c r="F13" s="73">
        <f t="shared" si="3"/>
        <v>481216.29</v>
      </c>
      <c r="G13" s="73">
        <f t="shared" si="3"/>
        <v>481216.29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-481216.29</v>
      </c>
    </row>
    <row r="14" spans="1:11" ht="15.75" thickBot="1" x14ac:dyDescent="0.3"/>
    <row r="15" spans="1:11" s="23" customFormat="1" ht="45.75" thickBot="1" x14ac:dyDescent="0.3">
      <c r="A15" s="39"/>
      <c r="B15" s="22" t="s">
        <v>62</v>
      </c>
      <c r="C15" s="62"/>
      <c r="D15" s="69" t="s">
        <v>3</v>
      </c>
      <c r="E15" s="65" t="s">
        <v>160</v>
      </c>
      <c r="F15" s="84" t="s">
        <v>127</v>
      </c>
      <c r="G15" s="84" t="s">
        <v>128</v>
      </c>
      <c r="H15" s="101" t="s">
        <v>129</v>
      </c>
      <c r="I15" s="84" t="s">
        <v>130</v>
      </c>
      <c r="J15" s="102" t="s">
        <v>131</v>
      </c>
      <c r="K15" s="103" t="s">
        <v>132</v>
      </c>
    </row>
    <row r="16" spans="1:11" x14ac:dyDescent="0.25">
      <c r="B16" s="24"/>
      <c r="C16" s="25"/>
      <c r="D16" s="4"/>
      <c r="E16" s="49"/>
    </row>
    <row r="17" spans="2:11" ht="15.75" thickBot="1" x14ac:dyDescent="0.3">
      <c r="B17" s="41">
        <v>8</v>
      </c>
      <c r="C17" s="42" t="s">
        <v>161</v>
      </c>
      <c r="D17" s="43"/>
      <c r="E17" s="44">
        <f>E18+E20</f>
        <v>0</v>
      </c>
      <c r="F17" s="44">
        <f t="shared" ref="F17:K17" si="4">F18+F20</f>
        <v>481216.29</v>
      </c>
      <c r="G17" s="44">
        <f t="shared" si="4"/>
        <v>481216.29</v>
      </c>
      <c r="H17" s="44">
        <f t="shared" si="4"/>
        <v>0</v>
      </c>
      <c r="I17" s="44">
        <f t="shared" si="4"/>
        <v>0</v>
      </c>
      <c r="J17" s="44">
        <f t="shared" si="4"/>
        <v>0</v>
      </c>
      <c r="K17" s="44">
        <f t="shared" si="4"/>
        <v>-481216.29</v>
      </c>
    </row>
    <row r="18" spans="2:11" s="2" customFormat="1" ht="15.75" thickTop="1" x14ac:dyDescent="0.25">
      <c r="B18" s="123">
        <v>87010</v>
      </c>
      <c r="C18" s="45" t="s">
        <v>162</v>
      </c>
      <c r="D18" s="46"/>
      <c r="E18" s="47">
        <f>E19</f>
        <v>0</v>
      </c>
      <c r="F18" s="124">
        <f t="shared" ref="F18:K18" si="5">SUM(F19)</f>
        <v>477279.18</v>
      </c>
      <c r="G18" s="124">
        <f t="shared" si="5"/>
        <v>477279.18</v>
      </c>
      <c r="H18" s="124">
        <f t="shared" si="5"/>
        <v>0</v>
      </c>
      <c r="I18" s="124">
        <f t="shared" si="5"/>
        <v>0</v>
      </c>
      <c r="J18" s="124">
        <f t="shared" si="5"/>
        <v>0</v>
      </c>
      <c r="K18" s="124">
        <f t="shared" si="5"/>
        <v>-477279.18</v>
      </c>
    </row>
    <row r="19" spans="2:11" x14ac:dyDescent="0.25">
      <c r="B19" s="3"/>
      <c r="C19" s="125"/>
      <c r="D19" s="4" t="s">
        <v>162</v>
      </c>
      <c r="E19" s="90">
        <v>0</v>
      </c>
      <c r="F19" s="9">
        <v>477279.18</v>
      </c>
      <c r="G19" s="93">
        <f>E19+F19</f>
        <v>477279.18</v>
      </c>
      <c r="H19" s="9">
        <v>0</v>
      </c>
      <c r="I19" s="93">
        <f>H19-J19</f>
        <v>0</v>
      </c>
      <c r="J19" s="9">
        <v>0</v>
      </c>
      <c r="K19" s="93">
        <f>H19-G19</f>
        <v>-477279.18</v>
      </c>
    </row>
    <row r="20" spans="2:11" s="2" customFormat="1" x14ac:dyDescent="0.25">
      <c r="B20" s="70">
        <v>87000</v>
      </c>
      <c r="C20" s="12" t="s">
        <v>163</v>
      </c>
      <c r="D20" s="13"/>
      <c r="E20" s="116">
        <f>E21</f>
        <v>0</v>
      </c>
      <c r="F20" s="124">
        <f t="shared" ref="F20:K20" si="6">SUM(F21)</f>
        <v>3937.11</v>
      </c>
      <c r="G20" s="124">
        <f t="shared" si="6"/>
        <v>3937.11</v>
      </c>
      <c r="H20" s="124">
        <f t="shared" si="6"/>
        <v>0</v>
      </c>
      <c r="I20" s="124">
        <f t="shared" si="6"/>
        <v>0</v>
      </c>
      <c r="J20" s="124">
        <f t="shared" si="6"/>
        <v>0</v>
      </c>
      <c r="K20" s="124">
        <f t="shared" si="6"/>
        <v>-3937.11</v>
      </c>
    </row>
    <row r="21" spans="2:11" x14ac:dyDescent="0.25">
      <c r="B21" s="3"/>
      <c r="C21" s="88"/>
      <c r="D21" s="48" t="s">
        <v>163</v>
      </c>
      <c r="E21" s="91">
        <v>0</v>
      </c>
      <c r="F21" s="93">
        <v>3937.11</v>
      </c>
      <c r="G21" s="93">
        <f>E21+F21</f>
        <v>3937.11</v>
      </c>
      <c r="H21" s="9">
        <v>0</v>
      </c>
      <c r="I21" s="93">
        <f>H21-J21</f>
        <v>0</v>
      </c>
      <c r="J21" s="9">
        <v>0</v>
      </c>
      <c r="K21" s="93">
        <f>H21-G21</f>
        <v>-3937.11</v>
      </c>
    </row>
    <row r="38" ht="9" customHeight="1" x14ac:dyDescent="0.25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&amp;CLiquidació pressupost 2022 IERMB _ 31/12/2022&amp;R1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38"/>
  <sheetViews>
    <sheetView showGridLines="0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4" width="15.7109375" customWidth="1"/>
    <col min="5" max="5" width="5.28515625" customWidth="1"/>
    <col min="6" max="6" width="14.85546875" bestFit="1" customWidth="1"/>
    <col min="7" max="9" width="15.140625" customWidth="1"/>
    <col min="10" max="10" width="13.42578125" customWidth="1"/>
    <col min="11" max="11" width="15" bestFit="1" customWidth="1"/>
    <col min="12" max="12" width="15.140625" customWidth="1"/>
  </cols>
  <sheetData>
    <row r="2" spans="1:12" ht="15.75" thickBot="1" x14ac:dyDescent="0.3"/>
    <row r="3" spans="1:12" s="51" customFormat="1" ht="18" thickBot="1" x14ac:dyDescent="0.35">
      <c r="A3" s="37" t="s">
        <v>99</v>
      </c>
      <c r="B3" s="50"/>
      <c r="C3" s="50"/>
      <c r="D3" s="50"/>
      <c r="E3" s="50"/>
      <c r="F3" s="73">
        <f t="shared" ref="F3:L3" si="0">F7</f>
        <v>2630008.7247600006</v>
      </c>
      <c r="G3" s="73">
        <f t="shared" si="0"/>
        <v>796196.69000000006</v>
      </c>
      <c r="H3" s="73">
        <f t="shared" si="0"/>
        <v>3426205.414760001</v>
      </c>
      <c r="I3" s="73">
        <f t="shared" si="0"/>
        <v>3151152.7600000002</v>
      </c>
      <c r="J3" s="73">
        <f t="shared" si="0"/>
        <v>0</v>
      </c>
      <c r="K3" s="73">
        <f t="shared" si="0"/>
        <v>3151152.7600000002</v>
      </c>
      <c r="L3" s="73">
        <f t="shared" si="0"/>
        <v>275052.65476000094</v>
      </c>
    </row>
    <row r="4" spans="1:12" ht="15.75" thickBot="1" x14ac:dyDescent="0.3"/>
    <row r="5" spans="1:12" s="40" customFormat="1" ht="45.75" thickBot="1" x14ac:dyDescent="0.3">
      <c r="A5" s="74" t="s">
        <v>64</v>
      </c>
      <c r="B5" s="52" t="s">
        <v>65</v>
      </c>
      <c r="C5" s="77" t="s">
        <v>83</v>
      </c>
      <c r="D5" s="78"/>
      <c r="E5" s="79"/>
      <c r="F5" s="65" t="s">
        <v>160</v>
      </c>
      <c r="G5" s="84" t="s">
        <v>127</v>
      </c>
      <c r="H5" s="84" t="s">
        <v>128</v>
      </c>
      <c r="I5" s="101" t="s">
        <v>133</v>
      </c>
      <c r="J5" s="101" t="s">
        <v>134</v>
      </c>
      <c r="K5" s="102" t="s">
        <v>164</v>
      </c>
      <c r="L5" s="102" t="s">
        <v>132</v>
      </c>
    </row>
    <row r="7" spans="1:12" ht="15.75" thickBot="1" x14ac:dyDescent="0.3">
      <c r="A7" s="53">
        <v>462</v>
      </c>
      <c r="B7" s="41">
        <v>1</v>
      </c>
      <c r="C7" s="42" t="s">
        <v>85</v>
      </c>
      <c r="D7" s="43"/>
      <c r="E7" s="54"/>
      <c r="F7" s="44">
        <f>SUM(F8:F16)</f>
        <v>2630008.7247600006</v>
      </c>
      <c r="G7" s="44">
        <f t="shared" ref="G7:H7" si="1">SUM(G8:G16)</f>
        <v>796196.69000000006</v>
      </c>
      <c r="H7" s="44">
        <f t="shared" si="1"/>
        <v>3426205.414760001</v>
      </c>
      <c r="I7" s="44">
        <f>SUM(I8:I16)</f>
        <v>3151152.7600000002</v>
      </c>
      <c r="J7" s="44">
        <f t="shared" ref="J7:L7" si="2">SUM(J8:J16)</f>
        <v>0</v>
      </c>
      <c r="K7" s="44">
        <f t="shared" si="2"/>
        <v>3151152.7600000002</v>
      </c>
      <c r="L7" s="44">
        <f t="shared" si="2"/>
        <v>275052.65476000094</v>
      </c>
    </row>
    <row r="8" spans="1:12" ht="15.75" thickTop="1" x14ac:dyDescent="0.25">
      <c r="A8" s="17" t="s">
        <v>66</v>
      </c>
      <c r="B8" s="75" t="s">
        <v>53</v>
      </c>
      <c r="C8" s="6" t="s">
        <v>54</v>
      </c>
      <c r="D8" s="6"/>
      <c r="E8" s="6"/>
      <c r="F8" s="9">
        <v>66679.48000000001</v>
      </c>
      <c r="G8" s="9">
        <v>0</v>
      </c>
      <c r="H8" s="9">
        <f>F8+G8</f>
        <v>66679.48000000001</v>
      </c>
      <c r="I8" s="9">
        <v>68349.820000000007</v>
      </c>
      <c r="J8" s="9">
        <f>I8-K8</f>
        <v>0</v>
      </c>
      <c r="K8" s="9">
        <v>68349.820000000007</v>
      </c>
      <c r="L8" s="9">
        <f>H8-I8</f>
        <v>-1670.3399999999965</v>
      </c>
    </row>
    <row r="9" spans="1:12" x14ac:dyDescent="0.25">
      <c r="A9" s="17" t="s">
        <v>82</v>
      </c>
      <c r="B9" s="76" t="s">
        <v>11</v>
      </c>
      <c r="C9" s="5" t="s">
        <v>8</v>
      </c>
      <c r="D9" s="5"/>
      <c r="E9" s="5"/>
      <c r="F9" s="9">
        <v>1108916.2000000004</v>
      </c>
      <c r="G9" s="9">
        <f>24649.38+79506.5</f>
        <v>104155.88</v>
      </c>
      <c r="H9" s="9">
        <f t="shared" ref="H9:H15" si="3">F9+G9</f>
        <v>1213072.0800000005</v>
      </c>
      <c r="I9" s="9">
        <v>1240721.21</v>
      </c>
      <c r="J9" s="9">
        <f>I9-K9</f>
        <v>0</v>
      </c>
      <c r="K9" s="9">
        <v>1240721.21</v>
      </c>
      <c r="L9" s="9">
        <f t="shared" ref="L9:L15" si="4">H9-I9</f>
        <v>-27649.129999999423</v>
      </c>
    </row>
    <row r="10" spans="1:12" x14ac:dyDescent="0.25">
      <c r="A10" s="17" t="s">
        <v>67</v>
      </c>
      <c r="B10" s="76" t="s">
        <v>72</v>
      </c>
      <c r="C10" s="5" t="s">
        <v>73</v>
      </c>
      <c r="D10" s="5"/>
      <c r="E10" s="5"/>
      <c r="F10" s="9">
        <v>748641.32000000007</v>
      </c>
      <c r="G10" s="9">
        <v>692040.81</v>
      </c>
      <c r="H10" s="9">
        <f t="shared" si="3"/>
        <v>1440682.1300000001</v>
      </c>
      <c r="I10" s="9">
        <v>987602.87</v>
      </c>
      <c r="J10" s="9">
        <f t="shared" ref="J10:J15" si="5">I10-K10</f>
        <v>0</v>
      </c>
      <c r="K10" s="9">
        <v>987602.87</v>
      </c>
      <c r="L10" s="9">
        <f t="shared" si="4"/>
        <v>453079.26000000013</v>
      </c>
    </row>
    <row r="11" spans="1:12" x14ac:dyDescent="0.25">
      <c r="B11" s="76" t="s">
        <v>74</v>
      </c>
      <c r="C11" s="5" t="s">
        <v>70</v>
      </c>
      <c r="D11" s="5"/>
      <c r="E11" s="5"/>
      <c r="F11" s="9">
        <v>0</v>
      </c>
      <c r="G11" s="9">
        <v>0</v>
      </c>
      <c r="H11" s="9">
        <f t="shared" si="3"/>
        <v>0</v>
      </c>
      <c r="I11" s="9">
        <v>918.33</v>
      </c>
      <c r="J11" s="9">
        <f t="shared" si="5"/>
        <v>0</v>
      </c>
      <c r="K11" s="9">
        <v>918.33</v>
      </c>
      <c r="L11" s="9">
        <f t="shared" si="4"/>
        <v>-918.33</v>
      </c>
    </row>
    <row r="12" spans="1:12" x14ac:dyDescent="0.25">
      <c r="B12" s="76" t="s">
        <v>105</v>
      </c>
      <c r="C12" s="5" t="s">
        <v>106</v>
      </c>
      <c r="D12" s="5"/>
      <c r="E12" s="5"/>
      <c r="F12" s="9">
        <v>6000</v>
      </c>
      <c r="G12" s="9">
        <v>0</v>
      </c>
      <c r="H12" s="9">
        <f t="shared" si="3"/>
        <v>6000</v>
      </c>
      <c r="I12" s="9">
        <v>6998</v>
      </c>
      <c r="J12" s="9">
        <f t="shared" si="5"/>
        <v>0</v>
      </c>
      <c r="K12" s="9">
        <v>6998</v>
      </c>
      <c r="L12" s="9">
        <f t="shared" si="4"/>
        <v>-998</v>
      </c>
    </row>
    <row r="13" spans="1:12" x14ac:dyDescent="0.25">
      <c r="B13" s="76" t="s">
        <v>12</v>
      </c>
      <c r="C13" s="5" t="s">
        <v>2</v>
      </c>
      <c r="D13" s="5"/>
      <c r="E13" s="5"/>
      <c r="F13" s="9">
        <v>624779.52476000017</v>
      </c>
      <c r="G13" s="9">
        <v>0</v>
      </c>
      <c r="H13" s="9">
        <f t="shared" si="3"/>
        <v>624779.52476000017</v>
      </c>
      <c r="I13" s="9">
        <v>759319.25</v>
      </c>
      <c r="J13" s="9">
        <f t="shared" si="5"/>
        <v>0</v>
      </c>
      <c r="K13" s="9">
        <v>759319.25</v>
      </c>
      <c r="L13" s="9">
        <f t="shared" si="4"/>
        <v>-134539.72523999983</v>
      </c>
    </row>
    <row r="14" spans="1:12" x14ac:dyDescent="0.25">
      <c r="B14" s="76" t="s">
        <v>13</v>
      </c>
      <c r="C14" s="5" t="s">
        <v>14</v>
      </c>
      <c r="D14" s="5"/>
      <c r="E14" s="5"/>
      <c r="F14" s="9">
        <v>9000</v>
      </c>
      <c r="G14" s="9">
        <v>0</v>
      </c>
      <c r="H14" s="9">
        <f t="shared" si="3"/>
        <v>9000</v>
      </c>
      <c r="I14" s="9">
        <v>3542.6</v>
      </c>
      <c r="J14" s="9">
        <f t="shared" si="5"/>
        <v>0</v>
      </c>
      <c r="K14" s="9">
        <v>3542.6</v>
      </c>
      <c r="L14" s="9">
        <f t="shared" si="4"/>
        <v>5457.4</v>
      </c>
    </row>
    <row r="15" spans="1:12" x14ac:dyDescent="0.25">
      <c r="B15" s="76" t="s">
        <v>75</v>
      </c>
      <c r="C15" s="5" t="s">
        <v>76</v>
      </c>
      <c r="D15" s="5"/>
      <c r="E15" s="5"/>
      <c r="F15" s="16">
        <v>65992.2</v>
      </c>
      <c r="G15" s="9">
        <v>0</v>
      </c>
      <c r="H15" s="9">
        <f t="shared" si="3"/>
        <v>65992.2</v>
      </c>
      <c r="I15" s="16">
        <v>83700.679999999993</v>
      </c>
      <c r="J15" s="16">
        <f t="shared" si="5"/>
        <v>0</v>
      </c>
      <c r="K15" s="16">
        <v>83700.679999999993</v>
      </c>
      <c r="L15" s="16">
        <f t="shared" si="4"/>
        <v>-17708.479999999996</v>
      </c>
    </row>
    <row r="17" spans="2:6" x14ac:dyDescent="0.25">
      <c r="B17" s="80"/>
    </row>
    <row r="18" spans="2:6" ht="21" x14ac:dyDescent="0.35">
      <c r="B18" s="81"/>
      <c r="F18" s="95"/>
    </row>
    <row r="19" spans="2:6" ht="21" x14ac:dyDescent="0.35">
      <c r="F19" s="95"/>
    </row>
    <row r="20" spans="2:6" ht="21" x14ac:dyDescent="0.35">
      <c r="F20" s="95"/>
    </row>
    <row r="21" spans="2:6" ht="21" x14ac:dyDescent="0.35">
      <c r="F21" s="95"/>
    </row>
    <row r="22" spans="2:6" ht="21" x14ac:dyDescent="0.35">
      <c r="F22" s="95"/>
    </row>
    <row r="23" spans="2:6" ht="21" x14ac:dyDescent="0.35">
      <c r="F23" s="95"/>
    </row>
    <row r="24" spans="2:6" ht="21" x14ac:dyDescent="0.35">
      <c r="D24" s="19"/>
      <c r="F24" s="95"/>
    </row>
    <row r="25" spans="2:6" ht="21" x14ac:dyDescent="0.35">
      <c r="F25" s="95"/>
    </row>
    <row r="26" spans="2:6" ht="21" x14ac:dyDescent="0.35">
      <c r="F26" s="95"/>
    </row>
    <row r="38" ht="9" customHeight="1" x14ac:dyDescent="0.25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&amp;CLiquidació pressupost 2022 IERMB _ 31/12/2022&amp;R1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38"/>
  <sheetViews>
    <sheetView showGridLines="0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1.7109375" customWidth="1"/>
    <col min="4" max="4" width="28.140625" customWidth="1"/>
    <col min="5" max="5" width="11.85546875" customWidth="1"/>
    <col min="6" max="6" width="14.28515625" customWidth="1"/>
    <col min="7" max="7" width="13.42578125" customWidth="1"/>
    <col min="8" max="8" width="15.5703125" customWidth="1"/>
    <col min="9" max="9" width="16.7109375" customWidth="1"/>
    <col min="10" max="10" width="13.5703125" customWidth="1"/>
    <col min="11" max="11" width="12.85546875" bestFit="1" customWidth="1"/>
    <col min="12" max="12" width="13.5703125" customWidth="1"/>
  </cols>
  <sheetData>
    <row r="2" spans="1:12" ht="15.75" thickBot="1" x14ac:dyDescent="0.3"/>
    <row r="3" spans="1:12" s="51" customFormat="1" ht="18" thickBot="1" x14ac:dyDescent="0.35">
      <c r="A3" s="37" t="s">
        <v>45</v>
      </c>
      <c r="B3" s="50"/>
      <c r="C3" s="50"/>
      <c r="D3" s="50"/>
      <c r="E3" s="50"/>
      <c r="F3" s="73">
        <f t="shared" ref="F3:L3" si="0">F7</f>
        <v>916106.64</v>
      </c>
      <c r="G3" s="73">
        <f t="shared" si="0"/>
        <v>658031.2300000001</v>
      </c>
      <c r="H3" s="73">
        <f t="shared" si="0"/>
        <v>1574137.8699999999</v>
      </c>
      <c r="I3" s="73">
        <f t="shared" si="0"/>
        <v>1261252.98</v>
      </c>
      <c r="J3" s="73">
        <f t="shared" si="0"/>
        <v>378976.65999999992</v>
      </c>
      <c r="K3" s="73">
        <f t="shared" si="0"/>
        <v>882276.32</v>
      </c>
      <c r="L3" s="73">
        <f t="shared" si="0"/>
        <v>312884.89000000013</v>
      </c>
    </row>
    <row r="4" spans="1:12" ht="15.75" thickBot="1" x14ac:dyDescent="0.3"/>
    <row r="5" spans="1:12" s="40" customFormat="1" ht="50.25" customHeight="1" thickBot="1" x14ac:dyDescent="0.3">
      <c r="A5" s="74" t="s">
        <v>64</v>
      </c>
      <c r="B5" s="52" t="s">
        <v>65</v>
      </c>
      <c r="C5" s="77"/>
      <c r="D5" s="78" t="s">
        <v>3</v>
      </c>
      <c r="E5" s="79"/>
      <c r="F5" s="65" t="s">
        <v>160</v>
      </c>
      <c r="G5" s="84" t="s">
        <v>127</v>
      </c>
      <c r="H5" s="84" t="s">
        <v>128</v>
      </c>
      <c r="I5" s="101" t="s">
        <v>133</v>
      </c>
      <c r="J5" s="101" t="s">
        <v>134</v>
      </c>
      <c r="K5" s="101" t="s">
        <v>164</v>
      </c>
      <c r="L5" s="101" t="s">
        <v>132</v>
      </c>
    </row>
    <row r="7" spans="1:12" ht="15.75" thickBot="1" x14ac:dyDescent="0.3">
      <c r="A7" s="53">
        <v>462</v>
      </c>
      <c r="B7" s="41">
        <v>2</v>
      </c>
      <c r="C7" s="55" t="s">
        <v>88</v>
      </c>
      <c r="D7" s="43"/>
      <c r="E7" s="54"/>
      <c r="F7" s="44">
        <f>SUM(F8:F30)</f>
        <v>916106.64</v>
      </c>
      <c r="G7" s="44">
        <f>SUM(G8:G30)</f>
        <v>658031.2300000001</v>
      </c>
      <c r="H7" s="44">
        <f t="shared" ref="H7:K7" si="1">SUM(H8:H30)</f>
        <v>1574137.8699999999</v>
      </c>
      <c r="I7" s="44">
        <f t="shared" si="1"/>
        <v>1261252.98</v>
      </c>
      <c r="J7" s="44">
        <f t="shared" si="1"/>
        <v>378976.65999999992</v>
      </c>
      <c r="K7" s="44">
        <f t="shared" si="1"/>
        <v>882276.32</v>
      </c>
      <c r="L7" s="44">
        <f>SUM(L8:L30)</f>
        <v>312884.89000000013</v>
      </c>
    </row>
    <row r="8" spans="1:12" ht="15.75" thickTop="1" x14ac:dyDescent="0.25">
      <c r="A8" s="17" t="s">
        <v>66</v>
      </c>
      <c r="B8" s="76" t="s">
        <v>16</v>
      </c>
      <c r="C8" s="5" t="s">
        <v>89</v>
      </c>
      <c r="D8" s="5"/>
      <c r="E8" s="5"/>
      <c r="F8" s="9">
        <v>28000</v>
      </c>
      <c r="G8" s="9">
        <v>0</v>
      </c>
      <c r="H8" s="9">
        <f>F8+G8</f>
        <v>28000</v>
      </c>
      <c r="I8" s="9">
        <v>45314.080000000002</v>
      </c>
      <c r="J8" s="9">
        <f>I8-K8</f>
        <v>45314.080000000002</v>
      </c>
      <c r="K8" s="9">
        <v>0</v>
      </c>
      <c r="L8" s="9">
        <f>H8-I8</f>
        <v>-17314.080000000002</v>
      </c>
    </row>
    <row r="9" spans="1:12" x14ac:dyDescent="0.25">
      <c r="A9" s="17" t="s">
        <v>82</v>
      </c>
      <c r="B9" s="76" t="s">
        <v>17</v>
      </c>
      <c r="C9" s="5" t="s">
        <v>15</v>
      </c>
      <c r="D9" s="5"/>
      <c r="E9" s="5"/>
      <c r="F9" s="9">
        <v>2000</v>
      </c>
      <c r="G9" s="9">
        <v>0</v>
      </c>
      <c r="H9" s="9">
        <f t="shared" ref="H9:H30" si="2">F9+G9</f>
        <v>2000</v>
      </c>
      <c r="I9" s="9">
        <v>1486</v>
      </c>
      <c r="J9" s="9">
        <f t="shared" ref="J9:J30" si="3">I9-K9</f>
        <v>0</v>
      </c>
      <c r="K9" s="9">
        <v>1486</v>
      </c>
      <c r="L9" s="9">
        <f t="shared" ref="L9:L30" si="4">H9-I9</f>
        <v>514</v>
      </c>
    </row>
    <row r="10" spans="1:12" x14ac:dyDescent="0.25">
      <c r="A10" s="17" t="s">
        <v>67</v>
      </c>
      <c r="B10" s="76" t="s">
        <v>165</v>
      </c>
      <c r="C10" s="5" t="s">
        <v>166</v>
      </c>
      <c r="D10" s="5"/>
      <c r="F10" s="9">
        <v>0</v>
      </c>
      <c r="G10" s="9">
        <v>0</v>
      </c>
      <c r="H10" s="9">
        <f t="shared" si="2"/>
        <v>0</v>
      </c>
      <c r="I10" s="9">
        <v>0</v>
      </c>
      <c r="J10" s="9">
        <f t="shared" si="3"/>
        <v>0</v>
      </c>
      <c r="K10" s="9">
        <v>0</v>
      </c>
      <c r="L10" s="9">
        <f t="shared" si="4"/>
        <v>0</v>
      </c>
    </row>
    <row r="11" spans="1:12" x14ac:dyDescent="0.25">
      <c r="B11" s="76" t="s">
        <v>107</v>
      </c>
      <c r="C11" s="5" t="s">
        <v>108</v>
      </c>
      <c r="D11" s="5"/>
      <c r="E11" s="5"/>
      <c r="F11" s="9">
        <v>500</v>
      </c>
      <c r="G11" s="9">
        <v>0</v>
      </c>
      <c r="H11" s="9">
        <f t="shared" si="2"/>
        <v>500</v>
      </c>
      <c r="I11" s="9">
        <v>1268.8499999999999</v>
      </c>
      <c r="J11" s="9">
        <f t="shared" si="3"/>
        <v>1222.3999999999999</v>
      </c>
      <c r="K11" s="9">
        <v>46.45</v>
      </c>
      <c r="L11" s="9">
        <f t="shared" si="4"/>
        <v>-768.84999999999991</v>
      </c>
    </row>
    <row r="12" spans="1:12" x14ac:dyDescent="0.25">
      <c r="A12" s="17"/>
      <c r="B12" s="76" t="s">
        <v>117</v>
      </c>
      <c r="C12" s="5" t="s">
        <v>118</v>
      </c>
      <c r="D12" s="5"/>
      <c r="E12" s="5"/>
      <c r="F12" s="9">
        <v>7500</v>
      </c>
      <c r="G12" s="9">
        <v>0</v>
      </c>
      <c r="H12" s="9">
        <f t="shared" si="2"/>
        <v>7500</v>
      </c>
      <c r="I12" s="9">
        <v>10613.25</v>
      </c>
      <c r="J12" s="9">
        <f t="shared" si="3"/>
        <v>1501.8500000000004</v>
      </c>
      <c r="K12" s="9">
        <v>9111.4</v>
      </c>
      <c r="L12" s="9">
        <f t="shared" si="4"/>
        <v>-3113.25</v>
      </c>
    </row>
    <row r="13" spans="1:12" x14ac:dyDescent="0.25">
      <c r="B13" s="76" t="s">
        <v>21</v>
      </c>
      <c r="C13" s="5" t="s">
        <v>20</v>
      </c>
      <c r="D13" s="5"/>
      <c r="E13" s="5"/>
      <c r="F13" s="9">
        <v>9000</v>
      </c>
      <c r="G13" s="9">
        <v>0</v>
      </c>
      <c r="H13" s="9">
        <f t="shared" si="2"/>
        <v>9000</v>
      </c>
      <c r="I13" s="9">
        <v>7131.87</v>
      </c>
      <c r="J13" s="9">
        <f t="shared" si="3"/>
        <v>786.5</v>
      </c>
      <c r="K13" s="9">
        <v>6345.37</v>
      </c>
      <c r="L13" s="9">
        <f t="shared" si="4"/>
        <v>1868.13</v>
      </c>
    </row>
    <row r="14" spans="1:12" x14ac:dyDescent="0.25">
      <c r="B14" s="76" t="s">
        <v>79</v>
      </c>
      <c r="C14" s="5" t="s">
        <v>80</v>
      </c>
      <c r="D14" s="5"/>
      <c r="E14" s="5"/>
      <c r="F14" s="9">
        <v>1500</v>
      </c>
      <c r="G14" s="9">
        <v>0</v>
      </c>
      <c r="H14" s="9">
        <f t="shared" si="2"/>
        <v>1500</v>
      </c>
      <c r="I14" s="9">
        <v>590.59</v>
      </c>
      <c r="J14" s="9">
        <f t="shared" si="3"/>
        <v>0</v>
      </c>
      <c r="K14" s="9">
        <v>590.59</v>
      </c>
      <c r="L14" s="9">
        <f t="shared" si="4"/>
        <v>909.41</v>
      </c>
    </row>
    <row r="15" spans="1:12" x14ac:dyDescent="0.25">
      <c r="B15" s="76" t="s">
        <v>18</v>
      </c>
      <c r="C15" s="5" t="s">
        <v>19</v>
      </c>
      <c r="D15" s="5"/>
      <c r="E15" s="5"/>
      <c r="F15" s="9">
        <v>18000</v>
      </c>
      <c r="G15" s="9">
        <v>0</v>
      </c>
      <c r="H15" s="9">
        <f t="shared" si="2"/>
        <v>18000</v>
      </c>
      <c r="I15" s="9">
        <v>41538.97</v>
      </c>
      <c r="J15" s="9">
        <f t="shared" si="3"/>
        <v>0</v>
      </c>
      <c r="K15" s="9">
        <v>41538.97</v>
      </c>
      <c r="L15" s="9">
        <f t="shared" si="4"/>
        <v>-23538.97</v>
      </c>
    </row>
    <row r="16" spans="1:12" x14ac:dyDescent="0.25">
      <c r="B16" s="76" t="s">
        <v>37</v>
      </c>
      <c r="C16" s="5" t="s">
        <v>90</v>
      </c>
      <c r="D16" s="5"/>
      <c r="E16" s="5"/>
      <c r="F16" s="9">
        <f>3750+1500+1000</f>
        <v>6250</v>
      </c>
      <c r="G16" s="9">
        <v>0</v>
      </c>
      <c r="H16" s="9">
        <f t="shared" si="2"/>
        <v>6250</v>
      </c>
      <c r="I16" s="9">
        <v>8880.89</v>
      </c>
      <c r="J16" s="9">
        <f t="shared" si="3"/>
        <v>1856.9899999999998</v>
      </c>
      <c r="K16" s="9">
        <v>7023.9</v>
      </c>
      <c r="L16" s="9">
        <f t="shared" si="4"/>
        <v>-2630.8899999999994</v>
      </c>
    </row>
    <row r="17" spans="2:12" x14ac:dyDescent="0.25">
      <c r="B17" s="76" t="s">
        <v>10</v>
      </c>
      <c r="C17" s="5" t="s">
        <v>9</v>
      </c>
      <c r="D17" s="5"/>
      <c r="E17" s="5"/>
      <c r="F17" s="9">
        <v>1250</v>
      </c>
      <c r="G17" s="9">
        <v>0</v>
      </c>
      <c r="H17" s="9">
        <f t="shared" si="2"/>
        <v>1250</v>
      </c>
      <c r="I17" s="9">
        <v>629.72</v>
      </c>
      <c r="J17" s="9">
        <f t="shared" si="3"/>
        <v>106.61000000000001</v>
      </c>
      <c r="K17" s="9">
        <v>523.11</v>
      </c>
      <c r="L17" s="9">
        <f t="shared" si="4"/>
        <v>620.28</v>
      </c>
    </row>
    <row r="18" spans="2:12" x14ac:dyDescent="0.25">
      <c r="B18" s="76" t="s">
        <v>22</v>
      </c>
      <c r="C18" s="5" t="s">
        <v>91</v>
      </c>
      <c r="D18" s="5"/>
      <c r="E18" s="5"/>
      <c r="F18" s="9">
        <v>2500</v>
      </c>
      <c r="G18" s="9">
        <v>0</v>
      </c>
      <c r="H18" s="9">
        <f t="shared" si="2"/>
        <v>2500</v>
      </c>
      <c r="I18" s="9">
        <v>2235.46</v>
      </c>
      <c r="J18" s="9">
        <f t="shared" si="3"/>
        <v>0</v>
      </c>
      <c r="K18" s="9">
        <v>2235.46</v>
      </c>
      <c r="L18" s="9">
        <f t="shared" si="4"/>
        <v>264.53999999999996</v>
      </c>
    </row>
    <row r="19" spans="2:12" x14ac:dyDescent="0.25">
      <c r="B19" s="76" t="s">
        <v>31</v>
      </c>
      <c r="C19" s="5" t="s">
        <v>32</v>
      </c>
      <c r="D19" s="5"/>
      <c r="E19" s="5"/>
      <c r="F19" s="9">
        <v>8000</v>
      </c>
      <c r="G19" s="9">
        <v>0</v>
      </c>
      <c r="H19" s="9">
        <f t="shared" si="2"/>
        <v>8000</v>
      </c>
      <c r="I19" s="9">
        <v>9067.7999999999993</v>
      </c>
      <c r="J19" s="9">
        <f t="shared" si="3"/>
        <v>156.31999999999971</v>
      </c>
      <c r="K19" s="9">
        <v>8911.48</v>
      </c>
      <c r="L19" s="9">
        <f t="shared" si="4"/>
        <v>-1067.7999999999993</v>
      </c>
    </row>
    <row r="20" spans="2:12" x14ac:dyDescent="0.25">
      <c r="B20" s="76" t="s">
        <v>23</v>
      </c>
      <c r="C20" s="5" t="s">
        <v>92</v>
      </c>
      <c r="D20" s="5"/>
      <c r="E20" s="5"/>
      <c r="F20" s="9">
        <v>0</v>
      </c>
      <c r="G20" s="9">
        <v>0</v>
      </c>
      <c r="H20" s="9">
        <f t="shared" si="2"/>
        <v>0</v>
      </c>
      <c r="I20" s="9">
        <v>0</v>
      </c>
      <c r="J20" s="9">
        <f t="shared" si="3"/>
        <v>0</v>
      </c>
      <c r="K20" s="9">
        <v>0</v>
      </c>
      <c r="L20" s="9">
        <f t="shared" si="4"/>
        <v>0</v>
      </c>
    </row>
    <row r="21" spans="2:12" x14ac:dyDescent="0.25">
      <c r="B21" s="76" t="s">
        <v>39</v>
      </c>
      <c r="C21" s="5" t="s">
        <v>38</v>
      </c>
      <c r="D21" s="5"/>
      <c r="E21" s="5"/>
      <c r="F21" s="9">
        <f>1500+850+3000</f>
        <v>5350</v>
      </c>
      <c r="G21" s="9">
        <v>24218.52</v>
      </c>
      <c r="H21" s="9">
        <f t="shared" si="2"/>
        <v>29568.52</v>
      </c>
      <c r="I21" s="9">
        <v>9613.4599999999991</v>
      </c>
      <c r="J21" s="9">
        <f t="shared" si="3"/>
        <v>2486.7299999999996</v>
      </c>
      <c r="K21" s="9">
        <v>7126.73</v>
      </c>
      <c r="L21" s="9">
        <f t="shared" si="4"/>
        <v>19955.060000000001</v>
      </c>
    </row>
    <row r="22" spans="2:12" x14ac:dyDescent="0.25">
      <c r="B22" s="76" t="s">
        <v>167</v>
      </c>
      <c r="C22" s="5" t="s">
        <v>168</v>
      </c>
      <c r="D22" s="5"/>
      <c r="E22" s="5"/>
      <c r="F22" s="9">
        <v>0</v>
      </c>
      <c r="G22" s="9">
        <v>0</v>
      </c>
      <c r="H22" s="9">
        <f t="shared" si="2"/>
        <v>0</v>
      </c>
      <c r="I22" s="9">
        <v>18910.55</v>
      </c>
      <c r="J22" s="9">
        <f t="shared" si="3"/>
        <v>5348.1999999999989</v>
      </c>
      <c r="K22" s="9">
        <v>13562.35</v>
      </c>
      <c r="L22" s="9">
        <f t="shared" si="4"/>
        <v>-18910.55</v>
      </c>
    </row>
    <row r="23" spans="2:12" x14ac:dyDescent="0.25">
      <c r="B23" s="76" t="s">
        <v>51</v>
      </c>
      <c r="C23" s="5" t="s">
        <v>52</v>
      </c>
      <c r="D23" s="5"/>
      <c r="E23" s="5"/>
      <c r="F23" s="9">
        <f>2400+1509.17+2797.48</f>
        <v>6706.65</v>
      </c>
      <c r="G23" s="9">
        <v>0</v>
      </c>
      <c r="H23" s="9">
        <f t="shared" si="2"/>
        <v>6706.65</v>
      </c>
      <c r="I23" s="9">
        <v>4189.71</v>
      </c>
      <c r="J23" s="9">
        <f t="shared" si="3"/>
        <v>465.84999999999991</v>
      </c>
      <c r="K23" s="9">
        <v>3723.86</v>
      </c>
      <c r="L23" s="9">
        <f t="shared" si="4"/>
        <v>2516.9399999999996</v>
      </c>
    </row>
    <row r="24" spans="2:12" x14ac:dyDescent="0.25">
      <c r="B24" s="75" t="s">
        <v>24</v>
      </c>
      <c r="C24" s="6" t="s">
        <v>111</v>
      </c>
      <c r="D24" s="5"/>
      <c r="E24" s="6"/>
      <c r="F24" s="9">
        <f>54000+30000+18000+64000+22500+212000+82000+104000+7920+66099.4+3000+750+22000+45000</f>
        <v>731269.4</v>
      </c>
      <c r="G24" s="9">
        <v>598851.61</v>
      </c>
      <c r="H24" s="9">
        <f t="shared" si="2"/>
        <v>1330121.01</v>
      </c>
      <c r="I24" s="9">
        <v>1001899.7</v>
      </c>
      <c r="J24" s="9">
        <f t="shared" si="3"/>
        <v>288332.69999999995</v>
      </c>
      <c r="K24" s="9">
        <v>713567</v>
      </c>
      <c r="L24" s="9">
        <f t="shared" si="4"/>
        <v>328221.31000000006</v>
      </c>
    </row>
    <row r="25" spans="2:12" x14ac:dyDescent="0.25">
      <c r="B25" s="76" t="s">
        <v>27</v>
      </c>
      <c r="C25" s="5" t="s">
        <v>112</v>
      </c>
      <c r="D25" s="5"/>
      <c r="E25" s="5"/>
      <c r="F25" s="9">
        <f>4270.59+2460+36000+12000</f>
        <v>54730.59</v>
      </c>
      <c r="G25" s="9">
        <v>20277.169999999998</v>
      </c>
      <c r="H25" s="9">
        <f t="shared" si="2"/>
        <v>75007.759999999995</v>
      </c>
      <c r="I25" s="9">
        <v>70583.179999999993</v>
      </c>
      <c r="J25" s="9">
        <f t="shared" si="3"/>
        <v>31398.429999999993</v>
      </c>
      <c r="K25" s="9">
        <v>39184.75</v>
      </c>
      <c r="L25" s="9">
        <f t="shared" si="4"/>
        <v>4424.5800000000017</v>
      </c>
    </row>
    <row r="26" spans="2:12" x14ac:dyDescent="0.25">
      <c r="B26" s="76" t="s">
        <v>35</v>
      </c>
      <c r="C26" s="5" t="s">
        <v>25</v>
      </c>
      <c r="D26" s="5"/>
      <c r="E26" s="5"/>
      <c r="F26" s="9">
        <v>250</v>
      </c>
      <c r="G26" s="9">
        <v>0</v>
      </c>
      <c r="H26" s="9">
        <f t="shared" si="2"/>
        <v>250</v>
      </c>
      <c r="I26" s="9">
        <v>118.7</v>
      </c>
      <c r="J26" s="9">
        <f t="shared" si="3"/>
        <v>0</v>
      </c>
      <c r="K26" s="9">
        <v>118.7</v>
      </c>
      <c r="L26" s="9">
        <f t="shared" si="4"/>
        <v>131.30000000000001</v>
      </c>
    </row>
    <row r="27" spans="2:12" x14ac:dyDescent="0.25">
      <c r="B27" s="76" t="s">
        <v>36</v>
      </c>
      <c r="C27" s="5" t="s">
        <v>26</v>
      </c>
      <c r="D27" s="5"/>
      <c r="E27" s="5"/>
      <c r="F27" s="9">
        <v>2450</v>
      </c>
      <c r="G27" s="9">
        <v>0</v>
      </c>
      <c r="H27" s="9">
        <f t="shared" si="2"/>
        <v>2450</v>
      </c>
      <c r="I27" s="9">
        <v>529.1</v>
      </c>
      <c r="J27" s="9">
        <f t="shared" si="3"/>
        <v>0</v>
      </c>
      <c r="K27" s="9">
        <v>529.1</v>
      </c>
      <c r="L27" s="9">
        <f t="shared" si="4"/>
        <v>1920.9</v>
      </c>
    </row>
    <row r="28" spans="2:12" x14ac:dyDescent="0.25">
      <c r="B28" s="76" t="s">
        <v>33</v>
      </c>
      <c r="C28" s="5" t="s">
        <v>29</v>
      </c>
      <c r="D28" s="5"/>
      <c r="E28" s="5"/>
      <c r="F28" s="9">
        <v>350</v>
      </c>
      <c r="G28" s="9">
        <v>0</v>
      </c>
      <c r="H28" s="9">
        <f t="shared" si="2"/>
        <v>350</v>
      </c>
      <c r="I28" s="9">
        <v>72.75</v>
      </c>
      <c r="J28" s="9">
        <f t="shared" si="3"/>
        <v>0</v>
      </c>
      <c r="K28" s="9">
        <v>72.75</v>
      </c>
      <c r="L28" s="9">
        <f t="shared" si="4"/>
        <v>277.25</v>
      </c>
    </row>
    <row r="29" spans="2:12" x14ac:dyDescent="0.25">
      <c r="B29" s="76" t="s">
        <v>34</v>
      </c>
      <c r="C29" s="5" t="s">
        <v>30</v>
      </c>
      <c r="D29" s="5"/>
      <c r="E29" s="5"/>
      <c r="F29" s="9">
        <v>4500</v>
      </c>
      <c r="G29" s="9">
        <v>0</v>
      </c>
      <c r="H29" s="9">
        <f t="shared" si="2"/>
        <v>4500</v>
      </c>
      <c r="I29" s="9">
        <v>1371.73</v>
      </c>
      <c r="J29" s="9">
        <f t="shared" si="3"/>
        <v>0</v>
      </c>
      <c r="K29" s="9">
        <v>1371.73</v>
      </c>
      <c r="L29" s="9">
        <f t="shared" si="4"/>
        <v>3128.27</v>
      </c>
    </row>
    <row r="30" spans="2:12" x14ac:dyDescent="0.25">
      <c r="B30" s="75" t="s">
        <v>28</v>
      </c>
      <c r="C30" s="6" t="s">
        <v>113</v>
      </c>
      <c r="D30" s="6"/>
      <c r="E30" s="6"/>
      <c r="F30" s="9">
        <f>4000+10000+10000+2000</f>
        <v>26000</v>
      </c>
      <c r="G30" s="9">
        <v>14683.93</v>
      </c>
      <c r="H30" s="9">
        <f t="shared" si="2"/>
        <v>40683.93</v>
      </c>
      <c r="I30" s="9">
        <v>25206.62</v>
      </c>
      <c r="J30" s="9">
        <f t="shared" si="3"/>
        <v>0</v>
      </c>
      <c r="K30" s="9">
        <v>25206.62</v>
      </c>
      <c r="L30" s="9">
        <f t="shared" si="4"/>
        <v>15477.310000000001</v>
      </c>
    </row>
    <row r="32" spans="2:12" ht="14.25" customHeight="1" x14ac:dyDescent="0.25"/>
    <row r="33" spans="2:4" ht="15" customHeight="1" x14ac:dyDescent="0.25">
      <c r="B33" s="17"/>
    </row>
    <row r="34" spans="2:4" ht="15" customHeight="1" x14ac:dyDescent="0.25">
      <c r="B34" s="17"/>
    </row>
    <row r="35" spans="2:4" ht="15" customHeight="1" x14ac:dyDescent="0.25">
      <c r="B35" s="17"/>
      <c r="C35" s="36"/>
      <c r="D35" s="36"/>
    </row>
    <row r="38" spans="2:4" ht="9" customHeight="1" x14ac:dyDescent="0.25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&amp;CLiquidació pressupost 2022 IERMB _ 31/12/2022&amp;R1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38"/>
  <sheetViews>
    <sheetView showGridLines="0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1.28515625" customWidth="1"/>
    <col min="4" max="4" width="24.7109375" customWidth="1"/>
    <col min="5" max="5" width="12.140625" customWidth="1"/>
    <col min="6" max="6" width="15.28515625" customWidth="1"/>
    <col min="7" max="7" width="13.7109375" customWidth="1"/>
    <col min="8" max="8" width="12.7109375" customWidth="1"/>
    <col min="9" max="9" width="16.5703125" customWidth="1"/>
    <col min="10" max="10" width="13.140625" customWidth="1"/>
    <col min="11" max="11" width="11.5703125" bestFit="1" customWidth="1"/>
    <col min="12" max="12" width="14.140625" customWidth="1"/>
  </cols>
  <sheetData>
    <row r="2" spans="1:12" ht="15.75" thickBot="1" x14ac:dyDescent="0.3"/>
    <row r="3" spans="1:12" s="15" customFormat="1" ht="18" thickBot="1" x14ac:dyDescent="0.35">
      <c r="A3" s="37" t="s">
        <v>46</v>
      </c>
      <c r="B3" s="38"/>
      <c r="C3" s="38"/>
      <c r="D3" s="38"/>
      <c r="E3" s="38"/>
      <c r="F3" s="73">
        <f t="shared" ref="F3:L3" si="0">F7</f>
        <v>430</v>
      </c>
      <c r="G3" s="73">
        <f t="shared" si="0"/>
        <v>800</v>
      </c>
      <c r="H3" s="73">
        <f t="shared" si="0"/>
        <v>1230</v>
      </c>
      <c r="I3" s="73">
        <f t="shared" si="0"/>
        <v>588.96</v>
      </c>
      <c r="J3" s="73">
        <f t="shared" si="0"/>
        <v>0</v>
      </c>
      <c r="K3" s="73">
        <f t="shared" si="0"/>
        <v>588.96</v>
      </c>
      <c r="L3" s="73">
        <f t="shared" si="0"/>
        <v>641.04</v>
      </c>
    </row>
    <row r="4" spans="1:12" ht="15.75" thickBot="1" x14ac:dyDescent="0.3"/>
    <row r="5" spans="1:12" s="40" customFormat="1" ht="52.5" customHeight="1" thickBot="1" x14ac:dyDescent="0.3">
      <c r="A5" s="74" t="s">
        <v>64</v>
      </c>
      <c r="B5" s="52" t="s">
        <v>65</v>
      </c>
      <c r="C5" s="77"/>
      <c r="D5" s="78" t="s">
        <v>3</v>
      </c>
      <c r="E5" s="79"/>
      <c r="F5" s="65" t="s">
        <v>160</v>
      </c>
      <c r="G5" s="128" t="s">
        <v>127</v>
      </c>
      <c r="H5" s="84" t="s">
        <v>128</v>
      </c>
      <c r="I5" s="101" t="s">
        <v>133</v>
      </c>
      <c r="J5" s="84" t="s">
        <v>134</v>
      </c>
      <c r="K5" s="102" t="s">
        <v>164</v>
      </c>
      <c r="L5" s="103" t="s">
        <v>132</v>
      </c>
    </row>
    <row r="7" spans="1:12" ht="15.75" thickBot="1" x14ac:dyDescent="0.3">
      <c r="A7" s="53">
        <v>462</v>
      </c>
      <c r="B7" s="41">
        <v>3</v>
      </c>
      <c r="C7" s="42" t="s">
        <v>59</v>
      </c>
      <c r="D7" s="43"/>
      <c r="E7" s="54"/>
      <c r="F7" s="44">
        <f>SUM(F8:F11)</f>
        <v>430</v>
      </c>
      <c r="G7" s="44">
        <f t="shared" ref="G7:I7" si="1">SUM(G8:G11)</f>
        <v>800</v>
      </c>
      <c r="H7" s="44">
        <f t="shared" si="1"/>
        <v>1230</v>
      </c>
      <c r="I7" s="44">
        <f t="shared" si="1"/>
        <v>588.96</v>
      </c>
      <c r="J7" s="44">
        <f t="shared" ref="J7:L7" si="2">SUM(J8:J11)</f>
        <v>0</v>
      </c>
      <c r="K7" s="44">
        <f t="shared" si="2"/>
        <v>588.96</v>
      </c>
      <c r="L7" s="44">
        <f t="shared" si="2"/>
        <v>641.04</v>
      </c>
    </row>
    <row r="8" spans="1:12" ht="15.75" thickTop="1" x14ac:dyDescent="0.25">
      <c r="A8" s="17" t="s">
        <v>66</v>
      </c>
      <c r="B8" s="76" t="s">
        <v>68</v>
      </c>
      <c r="C8" s="5" t="s">
        <v>93</v>
      </c>
      <c r="D8" s="5"/>
      <c r="E8" s="5"/>
      <c r="F8" s="16">
        <f>25+10+15</f>
        <v>50</v>
      </c>
      <c r="G8" s="16">
        <v>0</v>
      </c>
      <c r="H8" s="16">
        <f>F8+G8</f>
        <v>50</v>
      </c>
      <c r="I8" s="9">
        <v>0</v>
      </c>
      <c r="J8" s="9">
        <f>I8-K8</f>
        <v>0</v>
      </c>
      <c r="K8" s="9">
        <v>0</v>
      </c>
      <c r="L8" s="9">
        <f>H8-I8</f>
        <v>50</v>
      </c>
    </row>
    <row r="9" spans="1:12" x14ac:dyDescent="0.25">
      <c r="A9" s="17" t="s">
        <v>82</v>
      </c>
      <c r="B9" s="76">
        <v>35900</v>
      </c>
      <c r="C9" s="5" t="s">
        <v>69</v>
      </c>
      <c r="D9" s="5"/>
      <c r="E9" s="5"/>
      <c r="F9" s="16">
        <f>250+30+100</f>
        <v>380</v>
      </c>
      <c r="G9" s="16">
        <v>800</v>
      </c>
      <c r="H9" s="16">
        <f>F9+G9</f>
        <v>1180</v>
      </c>
      <c r="I9" s="9">
        <v>588.96</v>
      </c>
      <c r="J9" s="9">
        <f>I9-K9</f>
        <v>0</v>
      </c>
      <c r="K9" s="9">
        <v>588.96</v>
      </c>
      <c r="L9" s="9">
        <f>H9-I9</f>
        <v>591.04</v>
      </c>
    </row>
    <row r="10" spans="1:12" x14ac:dyDescent="0.25">
      <c r="A10" s="17" t="s">
        <v>67</v>
      </c>
      <c r="B10" s="96"/>
      <c r="C10" s="97"/>
      <c r="D10" s="97"/>
      <c r="E10" s="97"/>
      <c r="F10" s="98"/>
    </row>
    <row r="11" spans="1:12" ht="15.75" thickBot="1" x14ac:dyDescent="0.3"/>
    <row r="12" spans="1:12" ht="18" thickBot="1" x14ac:dyDescent="0.35">
      <c r="A12" s="37" t="s">
        <v>169</v>
      </c>
      <c r="B12" s="38"/>
      <c r="C12" s="38"/>
      <c r="D12" s="38"/>
      <c r="E12" s="126"/>
      <c r="F12" s="73">
        <f t="shared" ref="F12:L12" si="3">F16</f>
        <v>0</v>
      </c>
      <c r="G12" s="73">
        <f t="shared" si="3"/>
        <v>54642.8</v>
      </c>
      <c r="H12" s="73">
        <f t="shared" si="3"/>
        <v>54642.8</v>
      </c>
      <c r="I12" s="73">
        <f t="shared" si="3"/>
        <v>54642.8</v>
      </c>
      <c r="J12" s="73">
        <f t="shared" si="3"/>
        <v>0</v>
      </c>
      <c r="K12" s="73">
        <f t="shared" si="3"/>
        <v>54642.8</v>
      </c>
      <c r="L12" s="73">
        <f t="shared" si="3"/>
        <v>0</v>
      </c>
    </row>
    <row r="13" spans="1:12" ht="15" customHeight="1" thickBot="1" x14ac:dyDescent="0.3"/>
    <row r="14" spans="1:12" ht="51" customHeight="1" thickBot="1" x14ac:dyDescent="0.3">
      <c r="A14" s="74" t="s">
        <v>64</v>
      </c>
      <c r="B14" s="52" t="s">
        <v>65</v>
      </c>
      <c r="C14" s="77"/>
      <c r="D14" s="78" t="s">
        <v>3</v>
      </c>
      <c r="E14" s="127"/>
      <c r="F14" s="65" t="s">
        <v>160</v>
      </c>
      <c r="G14" s="128" t="s">
        <v>127</v>
      </c>
      <c r="H14" s="84" t="s">
        <v>128</v>
      </c>
      <c r="I14" s="101" t="s">
        <v>133</v>
      </c>
      <c r="J14" s="84" t="s">
        <v>134</v>
      </c>
      <c r="K14" s="102" t="s">
        <v>164</v>
      </c>
      <c r="L14" s="103" t="s">
        <v>132</v>
      </c>
    </row>
    <row r="16" spans="1:12" ht="15.75" thickBot="1" x14ac:dyDescent="0.3">
      <c r="A16" s="53">
        <v>462</v>
      </c>
      <c r="B16" s="41">
        <v>4</v>
      </c>
      <c r="C16" s="42" t="s">
        <v>137</v>
      </c>
      <c r="D16" s="43"/>
      <c r="E16" s="44"/>
      <c r="F16" s="44">
        <f>SUM(F17:F18)</f>
        <v>0</v>
      </c>
      <c r="G16" s="44">
        <f>SUM(G17:G18)</f>
        <v>54642.8</v>
      </c>
      <c r="H16" s="44">
        <f t="shared" ref="H16:L16" si="4">SUM(H17:H18)</f>
        <v>54642.8</v>
      </c>
      <c r="I16" s="44">
        <f t="shared" si="4"/>
        <v>54642.8</v>
      </c>
      <c r="J16" s="44">
        <f t="shared" si="4"/>
        <v>0</v>
      </c>
      <c r="K16" s="44">
        <f t="shared" si="4"/>
        <v>54642.8</v>
      </c>
      <c r="L16" s="44">
        <f t="shared" si="4"/>
        <v>0</v>
      </c>
    </row>
    <row r="17" spans="1:12" ht="15.75" thickTop="1" x14ac:dyDescent="0.25">
      <c r="A17" s="17" t="s">
        <v>66</v>
      </c>
      <c r="B17" s="76">
        <v>45390</v>
      </c>
      <c r="C17" s="5" t="s">
        <v>170</v>
      </c>
      <c r="D17" s="5"/>
      <c r="E17" s="16"/>
      <c r="F17" s="16">
        <v>0</v>
      </c>
      <c r="G17" s="9">
        <v>7642.8</v>
      </c>
      <c r="H17" s="9">
        <f>F17+G17</f>
        <v>7642.8</v>
      </c>
      <c r="I17" s="9">
        <v>7642.8</v>
      </c>
      <c r="J17" s="9">
        <v>0</v>
      </c>
      <c r="K17" s="9">
        <v>7642.8</v>
      </c>
      <c r="L17" s="9">
        <v>0</v>
      </c>
    </row>
    <row r="18" spans="1:12" x14ac:dyDescent="0.25">
      <c r="A18" s="17" t="s">
        <v>82</v>
      </c>
      <c r="B18" s="76" t="s">
        <v>171</v>
      </c>
      <c r="C18" s="5" t="s">
        <v>172</v>
      </c>
      <c r="D18" s="5"/>
      <c r="E18" s="16"/>
      <c r="F18" s="16">
        <v>0</v>
      </c>
      <c r="G18" s="9">
        <v>47000</v>
      </c>
      <c r="H18" s="9">
        <f>F18+G18</f>
        <v>47000</v>
      </c>
      <c r="I18" s="9">
        <v>47000</v>
      </c>
      <c r="J18" s="9">
        <f>I18-K18</f>
        <v>0</v>
      </c>
      <c r="K18" s="9">
        <v>47000</v>
      </c>
      <c r="L18" s="9">
        <f>H18-I18</f>
        <v>0</v>
      </c>
    </row>
    <row r="19" spans="1:12" x14ac:dyDescent="0.25">
      <c r="A19" s="17" t="s">
        <v>67</v>
      </c>
      <c r="B19" s="99"/>
      <c r="E19" s="19"/>
      <c r="F19" s="90"/>
      <c r="G19" s="90"/>
    </row>
    <row r="20" spans="1:12" ht="15.75" thickBot="1" x14ac:dyDescent="0.3"/>
    <row r="21" spans="1:12" ht="18" thickBot="1" x14ac:dyDescent="0.35">
      <c r="A21" s="37" t="s">
        <v>98</v>
      </c>
      <c r="B21" s="38"/>
      <c r="C21" s="38"/>
      <c r="D21" s="38"/>
      <c r="E21" s="38"/>
      <c r="F21" s="73">
        <f t="shared" ref="F21:L21" si="5">F25</f>
        <v>12000</v>
      </c>
      <c r="G21" s="73">
        <f t="shared" si="5"/>
        <v>42185.89</v>
      </c>
      <c r="H21" s="73">
        <f t="shared" si="5"/>
        <v>54185.89</v>
      </c>
      <c r="I21" s="73">
        <f t="shared" si="5"/>
        <v>50821.490000000005</v>
      </c>
      <c r="J21" s="73">
        <f t="shared" si="5"/>
        <v>15591.940000000002</v>
      </c>
      <c r="K21" s="73">
        <f t="shared" si="5"/>
        <v>35229.550000000003</v>
      </c>
      <c r="L21" s="73">
        <f t="shared" si="5"/>
        <v>3364.3999999999978</v>
      </c>
    </row>
    <row r="22" spans="1:12" ht="15.75" thickBot="1" x14ac:dyDescent="0.3"/>
    <row r="23" spans="1:12" ht="53.25" customHeight="1" thickBot="1" x14ac:dyDescent="0.3">
      <c r="A23" s="74" t="s">
        <v>64</v>
      </c>
      <c r="B23" s="52" t="s">
        <v>65</v>
      </c>
      <c r="C23" s="77"/>
      <c r="D23" s="78" t="s">
        <v>3</v>
      </c>
      <c r="E23" s="79"/>
      <c r="F23" s="65" t="s">
        <v>160</v>
      </c>
      <c r="G23" s="128" t="s">
        <v>127</v>
      </c>
      <c r="H23" s="84" t="s">
        <v>128</v>
      </c>
      <c r="I23" s="101" t="s">
        <v>133</v>
      </c>
      <c r="J23" s="84" t="s">
        <v>134</v>
      </c>
      <c r="K23" s="102" t="s">
        <v>164</v>
      </c>
      <c r="L23" s="103" t="s">
        <v>132</v>
      </c>
    </row>
    <row r="25" spans="1:12" ht="15.75" thickBot="1" x14ac:dyDescent="0.3">
      <c r="A25" s="53">
        <v>462</v>
      </c>
      <c r="B25" s="41">
        <v>6</v>
      </c>
      <c r="C25" s="42" t="s">
        <v>60</v>
      </c>
      <c r="D25" s="43"/>
      <c r="E25" s="54"/>
      <c r="F25" s="44">
        <f>SUM(F26:F31)</f>
        <v>12000</v>
      </c>
      <c r="G25" s="44">
        <f t="shared" ref="G25:L25" si="6">SUM(G26:G31)</f>
        <v>42185.89</v>
      </c>
      <c r="H25" s="44">
        <f>SUM(H26:H31)</f>
        <v>54185.89</v>
      </c>
      <c r="I25" s="44">
        <f t="shared" si="6"/>
        <v>50821.490000000005</v>
      </c>
      <c r="J25" s="44">
        <f t="shared" si="6"/>
        <v>15591.940000000002</v>
      </c>
      <c r="K25" s="44">
        <f t="shared" si="6"/>
        <v>35229.550000000003</v>
      </c>
      <c r="L25" s="44">
        <f t="shared" si="6"/>
        <v>3364.3999999999978</v>
      </c>
    </row>
    <row r="26" spans="1:12" ht="15.75" thickTop="1" x14ac:dyDescent="0.25">
      <c r="A26" s="17" t="s">
        <v>66</v>
      </c>
      <c r="B26" s="76" t="s">
        <v>173</v>
      </c>
      <c r="C26" s="5" t="s">
        <v>174</v>
      </c>
      <c r="D26" s="5"/>
      <c r="E26" s="5"/>
      <c r="F26" s="16">
        <v>0</v>
      </c>
      <c r="G26" s="16">
        <v>9000</v>
      </c>
      <c r="H26" s="16">
        <f t="shared" ref="H26" si="7">F26+G26</f>
        <v>9000</v>
      </c>
      <c r="I26" s="9">
        <v>0</v>
      </c>
      <c r="J26" s="9">
        <f t="shared" ref="J26" si="8">I26-K26</f>
        <v>0</v>
      </c>
      <c r="K26" s="9">
        <v>0</v>
      </c>
      <c r="L26" s="9">
        <f t="shared" ref="L26" si="9">H26-I26</f>
        <v>9000</v>
      </c>
    </row>
    <row r="27" spans="1:12" x14ac:dyDescent="0.25">
      <c r="A27" s="17" t="s">
        <v>82</v>
      </c>
      <c r="B27" s="76" t="s">
        <v>119</v>
      </c>
      <c r="C27" s="5" t="s">
        <v>120</v>
      </c>
      <c r="D27" s="5"/>
      <c r="E27" s="5"/>
      <c r="F27" s="16">
        <v>500</v>
      </c>
      <c r="G27" s="16">
        <v>0</v>
      </c>
      <c r="H27" s="16">
        <f t="shared" ref="H27:H31" si="10">F27+G27</f>
        <v>500</v>
      </c>
      <c r="I27" s="9">
        <v>0</v>
      </c>
      <c r="J27" s="9">
        <f t="shared" ref="J27:J31" si="11">I27-K27</f>
        <v>0</v>
      </c>
      <c r="K27" s="9">
        <v>0</v>
      </c>
      <c r="L27" s="9">
        <f t="shared" ref="L27:L31" si="12">H27-I27</f>
        <v>500</v>
      </c>
    </row>
    <row r="28" spans="1:12" x14ac:dyDescent="0.25">
      <c r="A28" s="17" t="s">
        <v>67</v>
      </c>
      <c r="B28" s="76" t="s">
        <v>40</v>
      </c>
      <c r="C28" s="5" t="s">
        <v>94</v>
      </c>
      <c r="D28" s="5"/>
      <c r="E28" s="5"/>
      <c r="F28" s="16">
        <f>250+500+750</f>
        <v>1500</v>
      </c>
      <c r="G28" s="16">
        <v>6000</v>
      </c>
      <c r="H28" s="16">
        <f t="shared" si="10"/>
        <v>7500</v>
      </c>
      <c r="I28" s="9">
        <v>18124.080000000002</v>
      </c>
      <c r="J28" s="9">
        <f t="shared" si="11"/>
        <v>14227.440000000002</v>
      </c>
      <c r="K28" s="9">
        <v>3896.64</v>
      </c>
      <c r="L28" s="9">
        <f t="shared" si="12"/>
        <v>-10624.080000000002</v>
      </c>
    </row>
    <row r="29" spans="1:12" x14ac:dyDescent="0.25">
      <c r="B29" s="76" t="s">
        <v>41</v>
      </c>
      <c r="C29" s="5" t="s">
        <v>95</v>
      </c>
      <c r="D29" s="5"/>
      <c r="E29" s="5"/>
      <c r="F29" s="16">
        <f>3000+1000+2500</f>
        <v>6500</v>
      </c>
      <c r="G29" s="16">
        <v>27185.89</v>
      </c>
      <c r="H29" s="16">
        <f t="shared" si="10"/>
        <v>33685.89</v>
      </c>
      <c r="I29" s="9">
        <v>1618.02</v>
      </c>
      <c r="J29" s="9">
        <f t="shared" si="11"/>
        <v>1364.5</v>
      </c>
      <c r="K29" s="9">
        <v>253.52</v>
      </c>
      <c r="L29" s="9">
        <f t="shared" si="12"/>
        <v>32067.87</v>
      </c>
    </row>
    <row r="30" spans="1:12" x14ac:dyDescent="0.25">
      <c r="B30" s="75" t="s">
        <v>42</v>
      </c>
      <c r="C30" s="6" t="s">
        <v>96</v>
      </c>
      <c r="D30" s="5"/>
      <c r="E30" s="6"/>
      <c r="F30" s="16">
        <f>1000+500</f>
        <v>1500</v>
      </c>
      <c r="G30" s="129">
        <v>0</v>
      </c>
      <c r="H30" s="16">
        <f t="shared" si="10"/>
        <v>1500</v>
      </c>
      <c r="I30" s="9">
        <v>31079.39</v>
      </c>
      <c r="J30" s="9">
        <f t="shared" si="11"/>
        <v>0</v>
      </c>
      <c r="K30" s="9">
        <v>31079.39</v>
      </c>
      <c r="L30" s="9">
        <f t="shared" si="12"/>
        <v>-29579.39</v>
      </c>
    </row>
    <row r="31" spans="1:12" x14ac:dyDescent="0.25">
      <c r="B31" s="76" t="s">
        <v>43</v>
      </c>
      <c r="C31" s="5" t="s">
        <v>97</v>
      </c>
      <c r="D31" s="5"/>
      <c r="E31" s="5"/>
      <c r="F31" s="16">
        <v>2000</v>
      </c>
      <c r="G31" s="16">
        <v>0</v>
      </c>
      <c r="H31" s="16">
        <f t="shared" si="10"/>
        <v>2000</v>
      </c>
      <c r="I31" s="9">
        <v>0</v>
      </c>
      <c r="J31" s="9">
        <f t="shared" si="11"/>
        <v>0</v>
      </c>
      <c r="K31" s="9">
        <v>0</v>
      </c>
      <c r="L31" s="9">
        <f t="shared" si="12"/>
        <v>2000</v>
      </c>
    </row>
    <row r="38" ht="9" customHeight="1" x14ac:dyDescent="0.25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&amp;CLiquidació pressupost 2022 IERMB _ 31/12/2022&amp;R1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3a3b-e8e0-4c60-85a0-914a76045c4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5" ma:contentTypeDescription="Crea un document nou" ma:contentTypeScope="" ma:versionID="00fb4844daa5ac8f436b37597357ced0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6e7a84bd30eae1d4671e9404d9d36531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AD5DFE-F87B-4D52-973C-8079E4160BB2}">
  <ds:schemaRefs>
    <ds:schemaRef ds:uri="http://schemas.microsoft.com/office/2006/metadata/properties"/>
    <ds:schemaRef ds:uri="http://schemas.microsoft.com/office/infopath/2007/PartnerControls"/>
    <ds:schemaRef ds:uri="8bbe3a3b-e8e0-4c60-85a0-914a76045c4b"/>
  </ds:schemaRefs>
</ds:datastoreItem>
</file>

<file path=customXml/itemProps2.xml><?xml version="1.0" encoding="utf-8"?>
<ds:datastoreItem xmlns:ds="http://schemas.openxmlformats.org/officeDocument/2006/customXml" ds:itemID="{8C22D657-0112-4CC2-AD0C-8A2FD25A9C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E4FC4E-2A40-449B-80F6-DE931AB2A4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7</vt:i4>
      </vt:variant>
      <vt:variant>
        <vt:lpstr>Intervals amb nom</vt:lpstr>
      </vt:variant>
      <vt:variant>
        <vt:i4>1</vt:i4>
      </vt:variant>
    </vt:vector>
  </HeadingPairs>
  <TitlesOfParts>
    <vt:vector size="8" baseType="lpstr">
      <vt:lpstr>Resum</vt:lpstr>
      <vt:lpstr>Cap. 3 Ing. vendes</vt:lpstr>
      <vt:lpstr>Cap. 4 Ing. Transf.corrents</vt:lpstr>
      <vt:lpstr>Cap. 5 i Cap. 8 Ing. pat -rom.</vt:lpstr>
      <vt:lpstr>Cap. 1 Desp. Personal</vt:lpstr>
      <vt:lpstr>Cap. 2 Desp.Corrents</vt:lpstr>
      <vt:lpstr>Cap. 3-4-6 Df,Tc,Inv</vt:lpstr>
      <vt:lpstr>'Cap. 3 Ing. vendes'!Print_Area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Migoya Martinez</dc:creator>
  <cp:lastModifiedBy>María Reyes Ramírez Gómez</cp:lastModifiedBy>
  <cp:lastPrinted>2023-02-07T13:10:31Z</cp:lastPrinted>
  <dcterms:created xsi:type="dcterms:W3CDTF">2011-11-15T15:44:37Z</dcterms:created>
  <dcterms:modified xsi:type="dcterms:W3CDTF">2023-03-22T09:22:55Z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