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4/Febrer-abril/"/>
    </mc:Choice>
  </mc:AlternateContent>
  <xr:revisionPtr revIDLastSave="1463" documentId="11_C781E56B95AB3D3B43C112250FF4F468D7DF32A0" xr6:coauthVersionLast="47" xr6:coauthVersionMax="47" xr10:uidLastSave="{C76AE4EE-DA44-4A0B-8FB6-7E2DC240D7BC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 Cap. 8 Ing. pat -rom." sheetId="17" r:id="rId4"/>
    <sheet name="Cap. 1 Desp. Personal" sheetId="16" r:id="rId5"/>
    <sheet name="Cap. 2 Desp.Corrents" sheetId="11" r:id="rId6"/>
    <sheet name="Cap. 3-4-6 Df,Tc,Inv" sheetId="20" r:id="rId7"/>
  </sheets>
  <definedNames>
    <definedName name="Print_Area" localSheetId="1">'Cap. 3 Ing. vendes'!$A$1:$L$16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1" l="1"/>
  <c r="G9" i="16"/>
  <c r="H55" i="15"/>
  <c r="H54" i="15"/>
  <c r="L35" i="18"/>
  <c r="L34" i="18"/>
  <c r="J35" i="18"/>
  <c r="H35" i="18"/>
  <c r="G65" i="15"/>
  <c r="I55" i="15" l="1"/>
  <c r="L13" i="11" l="1"/>
  <c r="L14" i="11"/>
  <c r="L15" i="11"/>
  <c r="L16" i="11"/>
  <c r="L17" i="11"/>
  <c r="L18" i="11"/>
  <c r="L19" i="11"/>
  <c r="L20" i="11"/>
  <c r="L21" i="11"/>
  <c r="L22" i="11"/>
  <c r="L23" i="11"/>
  <c r="L25" i="11"/>
  <c r="L26" i="11"/>
  <c r="L27" i="11"/>
  <c r="L28" i="11"/>
  <c r="L29" i="11"/>
  <c r="L30" i="11"/>
  <c r="J27" i="11"/>
  <c r="J28" i="11"/>
  <c r="J29" i="11"/>
  <c r="J30" i="11"/>
  <c r="J15" i="11"/>
  <c r="H19" i="11"/>
  <c r="H20" i="11"/>
  <c r="H21" i="11"/>
  <c r="H22" i="11"/>
  <c r="H23" i="11"/>
  <c r="H24" i="11"/>
  <c r="L24" i="11" s="1"/>
  <c r="H25" i="11"/>
  <c r="H26" i="11"/>
  <c r="H27" i="11"/>
  <c r="H28" i="11"/>
  <c r="H29" i="11"/>
  <c r="H30" i="11"/>
  <c r="H15" i="11"/>
  <c r="K8" i="16"/>
  <c r="I8" i="16"/>
  <c r="G21" i="17"/>
  <c r="G19" i="17"/>
  <c r="G12" i="18"/>
  <c r="H12" i="18"/>
  <c r="I12" i="18"/>
  <c r="J12" i="18"/>
  <c r="K12" i="18"/>
  <c r="L12" i="18"/>
  <c r="F12" i="18"/>
  <c r="K25" i="18"/>
  <c r="I25" i="18"/>
  <c r="H25" i="18"/>
  <c r="G25" i="18"/>
  <c r="F25" i="18"/>
  <c r="L32" i="18"/>
  <c r="L31" i="18" s="1"/>
  <c r="J32" i="18"/>
  <c r="J31" i="18" s="1"/>
  <c r="K31" i="18"/>
  <c r="I31" i="18"/>
  <c r="H31" i="18"/>
  <c r="G31" i="18"/>
  <c r="F31" i="18"/>
  <c r="G30" i="18"/>
  <c r="H30" i="18" s="1"/>
  <c r="L30" i="18" s="1"/>
  <c r="K29" i="18"/>
  <c r="I29" i="18"/>
  <c r="L29" i="18" s="1"/>
  <c r="H29" i="18"/>
  <c r="L22" i="18"/>
  <c r="J22" i="18"/>
  <c r="J21" i="18"/>
  <c r="H21" i="18"/>
  <c r="L21" i="18" s="1"/>
  <c r="K15" i="18"/>
  <c r="I15" i="18"/>
  <c r="J15" i="18" s="1"/>
  <c r="H15" i="18"/>
  <c r="J14" i="18"/>
  <c r="H14" i="18"/>
  <c r="L14" i="18" s="1"/>
  <c r="J34" i="18"/>
  <c r="J33" i="18" s="1"/>
  <c r="G34" i="18"/>
  <c r="H34" i="18" s="1"/>
  <c r="K33" i="18"/>
  <c r="I33" i="18"/>
  <c r="F33" i="18"/>
  <c r="J30" i="18"/>
  <c r="K28" i="18"/>
  <c r="I28" i="18"/>
  <c r="J28" i="18" s="1"/>
  <c r="G28" i="18"/>
  <c r="H28" i="18" s="1"/>
  <c r="I26" i="18"/>
  <c r="J13" i="18"/>
  <c r="H13" i="18"/>
  <c r="L13" i="18" s="1"/>
  <c r="H11" i="18"/>
  <c r="J11" i="18"/>
  <c r="K9" i="18"/>
  <c r="I9" i="18"/>
  <c r="G9" i="18"/>
  <c r="H9" i="18" s="1"/>
  <c r="L7" i="19"/>
  <c r="F20" i="19"/>
  <c r="G20" i="19"/>
  <c r="H20" i="19"/>
  <c r="I20" i="19"/>
  <c r="K20" i="19"/>
  <c r="L22" i="19"/>
  <c r="J22" i="19"/>
  <c r="H22" i="19"/>
  <c r="K10" i="19"/>
  <c r="I10" i="19"/>
  <c r="F7" i="18" l="1"/>
  <c r="L15" i="18"/>
  <c r="J29" i="18"/>
  <c r="L33" i="18"/>
  <c r="H33" i="18"/>
  <c r="G33" i="18"/>
  <c r="L28" i="18"/>
  <c r="L11" i="18"/>
  <c r="L9" i="18"/>
  <c r="J9" i="18"/>
  <c r="G73" i="15" l="1"/>
  <c r="G69" i="15"/>
  <c r="G9" i="19" l="1"/>
  <c r="F9" i="19"/>
  <c r="G16" i="19"/>
  <c r="I16" i="19"/>
  <c r="K16" i="19"/>
  <c r="F16" i="19"/>
  <c r="J15" i="19"/>
  <c r="H15" i="19"/>
  <c r="L15" i="19" s="1"/>
  <c r="J14" i="19"/>
  <c r="H14" i="19"/>
  <c r="L14" i="19" s="1"/>
  <c r="J13" i="19"/>
  <c r="H13" i="19"/>
  <c r="L13" i="19" s="1"/>
  <c r="J21" i="19"/>
  <c r="J20" i="19" s="1"/>
  <c r="H21" i="19"/>
  <c r="G7" i="19" l="1"/>
  <c r="F7" i="19"/>
  <c r="L21" i="19"/>
  <c r="L20" i="19" s="1"/>
  <c r="G77" i="15" l="1"/>
  <c r="G82" i="15" s="1"/>
  <c r="I48" i="15"/>
  <c r="F47" i="15"/>
  <c r="I47" i="15" s="1"/>
  <c r="D23" i="15" l="1"/>
  <c r="G25" i="20"/>
  <c r="I25" i="20"/>
  <c r="I21" i="20" s="1"/>
  <c r="G24" i="15" s="1"/>
  <c r="G45" i="15" s="1"/>
  <c r="K25" i="20"/>
  <c r="K21" i="20" s="1"/>
  <c r="I24" i="15" s="1"/>
  <c r="F25" i="20"/>
  <c r="H26" i="20"/>
  <c r="L26" i="20" s="1"/>
  <c r="J26" i="20"/>
  <c r="J31" i="20"/>
  <c r="H31" i="20"/>
  <c r="L31" i="20" s="1"/>
  <c r="J30" i="20"/>
  <c r="J29" i="20"/>
  <c r="J28" i="20"/>
  <c r="J27" i="20"/>
  <c r="H27" i="20"/>
  <c r="J9" i="20"/>
  <c r="J8" i="20"/>
  <c r="K7" i="20"/>
  <c r="K3" i="20" s="1"/>
  <c r="I22" i="15" s="1"/>
  <c r="I7" i="20"/>
  <c r="I3" i="20" s="1"/>
  <c r="G22" i="15" s="1"/>
  <c r="G7" i="20"/>
  <c r="G3" i="20" s="1"/>
  <c r="E22" i="15" s="1"/>
  <c r="J18" i="20"/>
  <c r="J16" i="20" s="1"/>
  <c r="J12" i="20" s="1"/>
  <c r="H23" i="15" s="1"/>
  <c r="H18" i="20"/>
  <c r="L18" i="20" s="1"/>
  <c r="L16" i="20" s="1"/>
  <c r="L12" i="20" s="1"/>
  <c r="J23" i="15" s="1"/>
  <c r="H17" i="20"/>
  <c r="K16" i="20"/>
  <c r="K12" i="20" s="1"/>
  <c r="I23" i="15" s="1"/>
  <c r="I16" i="20"/>
  <c r="I12" i="20" s="1"/>
  <c r="G23" i="15" s="1"/>
  <c r="G16" i="20"/>
  <c r="G12" i="20" s="1"/>
  <c r="E23" i="15" s="1"/>
  <c r="F16" i="20"/>
  <c r="F12" i="20" s="1"/>
  <c r="J26" i="11"/>
  <c r="J25" i="11"/>
  <c r="J24" i="11"/>
  <c r="G7" i="11"/>
  <c r="G3" i="11" s="1"/>
  <c r="E21" i="15" s="1"/>
  <c r="J23" i="11"/>
  <c r="J22" i="11"/>
  <c r="J21" i="11"/>
  <c r="J20" i="11"/>
  <c r="J19" i="11"/>
  <c r="J18" i="11"/>
  <c r="H18" i="11"/>
  <c r="J17" i="11"/>
  <c r="H17" i="11"/>
  <c r="J16" i="11"/>
  <c r="J14" i="11"/>
  <c r="H14" i="11"/>
  <c r="J13" i="11"/>
  <c r="H13" i="11"/>
  <c r="J12" i="11"/>
  <c r="H12" i="11"/>
  <c r="L12" i="11" s="1"/>
  <c r="J11" i="11"/>
  <c r="H11" i="11"/>
  <c r="L11" i="11" s="1"/>
  <c r="J10" i="11"/>
  <c r="H10" i="11"/>
  <c r="L10" i="11" s="1"/>
  <c r="J9" i="11"/>
  <c r="H9" i="11"/>
  <c r="L9" i="11" s="1"/>
  <c r="J8" i="11"/>
  <c r="H8" i="11"/>
  <c r="K7" i="11"/>
  <c r="K3" i="11" s="1"/>
  <c r="I21" i="15" s="1"/>
  <c r="I7" i="11"/>
  <c r="I3" i="11" s="1"/>
  <c r="G21" i="15" s="1"/>
  <c r="H9" i="16"/>
  <c r="J9" i="16"/>
  <c r="H10" i="16"/>
  <c r="L10" i="16" s="1"/>
  <c r="J10" i="16"/>
  <c r="H11" i="16"/>
  <c r="L11" i="16" s="1"/>
  <c r="J11" i="16"/>
  <c r="H12" i="16"/>
  <c r="L12" i="16" s="1"/>
  <c r="J12" i="16"/>
  <c r="H13" i="16"/>
  <c r="L13" i="16" s="1"/>
  <c r="J13" i="16"/>
  <c r="H14" i="16"/>
  <c r="L14" i="16" s="1"/>
  <c r="J14" i="16"/>
  <c r="H15" i="16"/>
  <c r="L15" i="16" s="1"/>
  <c r="J15" i="16"/>
  <c r="G7" i="16"/>
  <c r="G3" i="16" s="1"/>
  <c r="E20" i="15" s="1"/>
  <c r="K7" i="16"/>
  <c r="I7" i="16"/>
  <c r="I3" i="16" s="1"/>
  <c r="G20" i="15" s="1"/>
  <c r="J8" i="16"/>
  <c r="H8" i="16"/>
  <c r="L8" i="16" s="1"/>
  <c r="J9" i="17"/>
  <c r="J8" i="17" s="1"/>
  <c r="J7" i="17" s="1"/>
  <c r="J3" i="17" s="1"/>
  <c r="H10" i="15" s="1"/>
  <c r="H9" i="17"/>
  <c r="L9" i="17" s="1"/>
  <c r="L8" i="17" s="1"/>
  <c r="L7" i="17" s="1"/>
  <c r="L3" i="17" s="1"/>
  <c r="J10" i="15" s="1"/>
  <c r="K8" i="17"/>
  <c r="K7" i="17" s="1"/>
  <c r="K3" i="17" s="1"/>
  <c r="I10" i="15" s="1"/>
  <c r="I8" i="17"/>
  <c r="I7" i="17" s="1"/>
  <c r="I3" i="17" s="1"/>
  <c r="G10" i="15" s="1"/>
  <c r="G8" i="17"/>
  <c r="G7" i="17" s="1"/>
  <c r="G3" i="17" s="1"/>
  <c r="E10" i="15" s="1"/>
  <c r="J21" i="17"/>
  <c r="H21" i="17"/>
  <c r="H20" i="17" s="1"/>
  <c r="K20" i="17"/>
  <c r="K17" i="17" s="1"/>
  <c r="K13" i="17" s="1"/>
  <c r="I11" i="15" s="1"/>
  <c r="I20" i="17"/>
  <c r="G20" i="17"/>
  <c r="F20" i="17"/>
  <c r="J19" i="17"/>
  <c r="J18" i="17" s="1"/>
  <c r="H19" i="17"/>
  <c r="H18" i="17" s="1"/>
  <c r="K18" i="17"/>
  <c r="I18" i="17"/>
  <c r="G18" i="17"/>
  <c r="F18" i="17"/>
  <c r="F18" i="18"/>
  <c r="G18" i="18"/>
  <c r="K27" i="18"/>
  <c r="J26" i="18"/>
  <c r="G23" i="18"/>
  <c r="G7" i="18" s="1"/>
  <c r="F23" i="18"/>
  <c r="F16" i="18"/>
  <c r="F10" i="18"/>
  <c r="F27" i="18"/>
  <c r="H26" i="18"/>
  <c r="J24" i="18"/>
  <c r="H24" i="18"/>
  <c r="L24" i="18" s="1"/>
  <c r="K20" i="18"/>
  <c r="K18" i="18" s="1"/>
  <c r="I20" i="18"/>
  <c r="I18" i="18" s="1"/>
  <c r="H20" i="18"/>
  <c r="J19" i="18"/>
  <c r="H19" i="18"/>
  <c r="L19" i="18" s="1"/>
  <c r="J17" i="18"/>
  <c r="J16" i="18" s="1"/>
  <c r="H17" i="18"/>
  <c r="H16" i="18" s="1"/>
  <c r="K16" i="18"/>
  <c r="I16" i="18"/>
  <c r="G16" i="18"/>
  <c r="K10" i="18"/>
  <c r="I10" i="18"/>
  <c r="G10" i="18"/>
  <c r="K8" i="18"/>
  <c r="I8" i="18"/>
  <c r="F8" i="18"/>
  <c r="J18" i="19"/>
  <c r="G3" i="19"/>
  <c r="E8" i="15" s="1"/>
  <c r="J19" i="19"/>
  <c r="L18" i="19"/>
  <c r="L19" i="19"/>
  <c r="J17" i="19"/>
  <c r="J16" i="19" s="1"/>
  <c r="J12" i="19"/>
  <c r="H12" i="19"/>
  <c r="L12" i="19" s="1"/>
  <c r="K9" i="19"/>
  <c r="K7" i="19" s="1"/>
  <c r="I9" i="19"/>
  <c r="I7" i="19" s="1"/>
  <c r="H11" i="19"/>
  <c r="J10" i="19"/>
  <c r="H10" i="19"/>
  <c r="J8" i="19"/>
  <c r="H8" i="19"/>
  <c r="L8" i="19" s="1"/>
  <c r="H16" i="11"/>
  <c r="J25" i="20" l="1"/>
  <c r="J21" i="20" s="1"/>
  <c r="H24" i="15" s="1"/>
  <c r="H7" i="11"/>
  <c r="I20" i="15"/>
  <c r="I26" i="15" s="1"/>
  <c r="K3" i="16"/>
  <c r="F3" i="18"/>
  <c r="H16" i="19"/>
  <c r="L10" i="19"/>
  <c r="H9" i="19"/>
  <c r="H7" i="19" s="1"/>
  <c r="I45" i="15"/>
  <c r="G44" i="15"/>
  <c r="G46" i="15" s="1"/>
  <c r="I23" i="18"/>
  <c r="I27" i="18"/>
  <c r="L20" i="18"/>
  <c r="L18" i="18" s="1"/>
  <c r="H18" i="18"/>
  <c r="J7" i="20"/>
  <c r="J3" i="20" s="1"/>
  <c r="H22" i="15" s="1"/>
  <c r="L27" i="20"/>
  <c r="G21" i="20"/>
  <c r="E24" i="15" s="1"/>
  <c r="E26" i="15" s="1"/>
  <c r="H16" i="20"/>
  <c r="H12" i="20" s="1"/>
  <c r="F23" i="15" s="1"/>
  <c r="J7" i="11"/>
  <c r="J3" i="11" s="1"/>
  <c r="H21" i="15" s="1"/>
  <c r="L8" i="11"/>
  <c r="G26" i="15"/>
  <c r="J7" i="16"/>
  <c r="J3" i="16" s="1"/>
  <c r="H20" i="15" s="1"/>
  <c r="L9" i="16"/>
  <c r="I17" i="17"/>
  <c r="I13" i="17" s="1"/>
  <c r="G11" i="15" s="1"/>
  <c r="G17" i="17"/>
  <c r="G13" i="17" s="1"/>
  <c r="E11" i="15" s="1"/>
  <c r="F17" i="17"/>
  <c r="F13" i="17" s="1"/>
  <c r="D11" i="15" s="1"/>
  <c r="H17" i="17"/>
  <c r="H13" i="17" s="1"/>
  <c r="F11" i="15" s="1"/>
  <c r="H8" i="17"/>
  <c r="H7" i="17" s="1"/>
  <c r="H3" i="17" s="1"/>
  <c r="F10" i="15" s="1"/>
  <c r="L21" i="17"/>
  <c r="L19" i="17"/>
  <c r="L18" i="17" s="1"/>
  <c r="J20" i="17"/>
  <c r="J17" i="17" s="1"/>
  <c r="J13" i="17" s="1"/>
  <c r="H11" i="15" s="1"/>
  <c r="K23" i="18"/>
  <c r="K7" i="18" s="1"/>
  <c r="L26" i="18"/>
  <c r="G8" i="18"/>
  <c r="J27" i="18"/>
  <c r="J10" i="18"/>
  <c r="J25" i="18"/>
  <c r="J23" i="18" s="1"/>
  <c r="J7" i="18" s="1"/>
  <c r="H10" i="18"/>
  <c r="J8" i="18"/>
  <c r="H8" i="18"/>
  <c r="L8" i="18"/>
  <c r="L27" i="18"/>
  <c r="H27" i="18"/>
  <c r="L10" i="18"/>
  <c r="L17" i="18"/>
  <c r="L16" i="18" s="1"/>
  <c r="G27" i="18"/>
  <c r="J20" i="18"/>
  <c r="J18" i="18" s="1"/>
  <c r="H3" i="19"/>
  <c r="F8" i="15" s="1"/>
  <c r="L17" i="19"/>
  <c r="L16" i="19" s="1"/>
  <c r="L11" i="19"/>
  <c r="K3" i="19"/>
  <c r="I8" i="15" s="1"/>
  <c r="I3" i="19"/>
  <c r="G8" i="15" s="1"/>
  <c r="J11" i="19"/>
  <c r="L7" i="11" l="1"/>
  <c r="L3" i="11" s="1"/>
  <c r="J21" i="15" s="1"/>
  <c r="I7" i="18"/>
  <c r="I3" i="18" s="1"/>
  <c r="G9" i="15" s="1"/>
  <c r="G3" i="18"/>
  <c r="E9" i="15" s="1"/>
  <c r="E13" i="15" s="1"/>
  <c r="E28" i="15" s="1"/>
  <c r="J9" i="19"/>
  <c r="J7" i="19" s="1"/>
  <c r="J3" i="19" s="1"/>
  <c r="H8" i="15" s="1"/>
  <c r="L9" i="19"/>
  <c r="L3" i="19" s="1"/>
  <c r="J8" i="15" s="1"/>
  <c r="K3" i="18"/>
  <c r="I9" i="15" s="1"/>
  <c r="I13" i="15" s="1"/>
  <c r="I28" i="15" s="1"/>
  <c r="G50" i="15"/>
  <c r="H26" i="15"/>
  <c r="H3" i="11"/>
  <c r="F21" i="15" s="1"/>
  <c r="L7" i="16"/>
  <c r="L3" i="16" s="1"/>
  <c r="J20" i="15" s="1"/>
  <c r="H7" i="16"/>
  <c r="H3" i="16" s="1"/>
  <c r="F20" i="15" s="1"/>
  <c r="L20" i="17"/>
  <c r="L17" i="17" s="1"/>
  <c r="L13" i="17" s="1"/>
  <c r="J11" i="15" s="1"/>
  <c r="L25" i="18"/>
  <c r="H23" i="18"/>
  <c r="H7" i="18" s="1"/>
  <c r="H30" i="20"/>
  <c r="L30" i="20" s="1"/>
  <c r="H29" i="20"/>
  <c r="L29" i="20" s="1"/>
  <c r="L23" i="18" l="1"/>
  <c r="L7" i="18" s="1"/>
  <c r="F44" i="15"/>
  <c r="I44" i="15" s="1"/>
  <c r="G13" i="15"/>
  <c r="G28" i="15" s="1"/>
  <c r="J3" i="18"/>
  <c r="H9" i="15" s="1"/>
  <c r="H13" i="15" s="1"/>
  <c r="H28" i="15" s="1"/>
  <c r="H28" i="20"/>
  <c r="H25" i="20" s="1"/>
  <c r="H3" i="18"/>
  <c r="F9" i="15" s="1"/>
  <c r="F13" i="15" s="1"/>
  <c r="F9" i="20"/>
  <c r="H9" i="20" s="1"/>
  <c r="L9" i="20" s="1"/>
  <c r="F8" i="20"/>
  <c r="H8" i="20" s="1"/>
  <c r="F7" i="11"/>
  <c r="L3" i="18" l="1"/>
  <c r="J9" i="15" s="1"/>
  <c r="J13" i="15" s="1"/>
  <c r="F46" i="15"/>
  <c r="L8" i="20"/>
  <c r="L7" i="20" s="1"/>
  <c r="L3" i="20" s="1"/>
  <c r="J22" i="15" s="1"/>
  <c r="H7" i="20"/>
  <c r="H3" i="20" s="1"/>
  <c r="F22" i="15" s="1"/>
  <c r="L28" i="20"/>
  <c r="H21" i="20"/>
  <c r="F24" i="15" s="1"/>
  <c r="F3" i="19"/>
  <c r="D8" i="15" s="1"/>
  <c r="F21" i="20"/>
  <c r="D24" i="15" s="1"/>
  <c r="F7" i="16"/>
  <c r="F3" i="16" s="1"/>
  <c r="D20" i="15" s="1"/>
  <c r="F7" i="20"/>
  <c r="F3" i="20" s="1"/>
  <c r="D22" i="15" s="1"/>
  <c r="F3" i="11"/>
  <c r="D21" i="15" s="1"/>
  <c r="F8" i="17"/>
  <c r="F7" i="17" s="1"/>
  <c r="F3" i="17" s="1"/>
  <c r="D10" i="15" s="1"/>
  <c r="F50" i="15" l="1"/>
  <c r="I50" i="15" s="1"/>
  <c r="I57" i="15" s="1"/>
  <c r="I46" i="15"/>
  <c r="L25" i="20"/>
  <c r="L21" i="20" s="1"/>
  <c r="J24" i="15" s="1"/>
  <c r="J26" i="15" s="1"/>
  <c r="J28" i="15" s="1"/>
  <c r="F26" i="15"/>
  <c r="F28" i="15" s="1"/>
  <c r="D9" i="15"/>
  <c r="D26" i="15"/>
  <c r="D13" i="15" l="1"/>
</calcChain>
</file>

<file path=xl/sharedStrings.xml><?xml version="1.0" encoding="utf-8"?>
<sst xmlns="http://schemas.openxmlformats.org/spreadsheetml/2006/main" count="332" uniqueCount="209">
  <si>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</si>
  <si>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</si>
  <si>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</si>
  <si>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</si>
  <si>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</si>
  <si>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</si>
  <si>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</si>
  <si>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</si>
  <si>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</si>
  <si>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</si>
  <si>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</si>
  <si>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</si>
  <si>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</si>
  <si>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</si>
  <si>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</si>
  <si>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</si>
  <si>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</si>
  <si>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</si>
  <si>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</si>
  <si>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</si>
  <si>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</si>
  <si>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</si>
  <si>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</si>
  <si>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</si>
  <si>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</si>
  <si>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</si>
  <si>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</si>
  <si>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</si>
  <si>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</si>
  <si>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</si>
  <si>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</si>
  <si>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</si>
  <si>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</si>
  <si>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</si>
  <si>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</si>
  <si>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</si>
  <si>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</si>
  <si>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</si>
  <si>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</si>
  <si>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</si>
  <si>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</si>
  <si>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</si>
  <si>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</si>
  <si>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</si>
  <si>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</si>
  <si>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</si>
  <si>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</si>
  <si>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</si>
  <si>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</si>
  <si>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</si>
  <si>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</si>
  <si>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</si>
  <si>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</si>
  <si>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</si>
  <si>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</si>
  <si>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</si>
  <si>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</si>
  <si>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</si>
  <si>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</si>
  <si>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</si>
  <si>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</si>
  <si>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</si>
  <si>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</si>
  <si>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</si>
  <si>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</si>
  <si>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</si>
  <si>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</si>
  <si>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</si>
  <si>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</si>
  <si>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</si>
  <si>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</si>
  <si>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</si>
  <si>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</si>
  <si>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</si>
  <si>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</si>
  <si>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</si>
  <si>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</si>
  <si>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</si>
  <si>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</si>
  <si>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</si>
  <si>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</si>
  <si>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</si>
  <si>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</si>
  <si>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</si>
  <si>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</si>
  <si>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</si>
  <si>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</si>
  <si>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</si>
  <si>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</si>
  <si>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</si>
  <si>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</si>
  <si>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</si>
  <si>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</si>
  <si>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</si>
  <si>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</si>
  <si>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</si>
  <si>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</si>
  <si>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</si>
  <si>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</si>
  <si>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</si>
  <si>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</si>
  <si>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</si>
  <si>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</si>
  <si>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</si>
  <si>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</si>
  <si>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</si>
  <si>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</si>
  <si>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</si>
  <si>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</si>
  <si>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</si>
  <si>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Estudis i treballs tècnics</t>
  </si>
  <si>
    <t>Treballs realitzats per persones físiques o jurídiques</t>
  </si>
  <si>
    <t>Despeses de publicacions</t>
  </si>
  <si>
    <t>Ajuntament BCN (IMHAB)</t>
  </si>
  <si>
    <t>21600</t>
  </si>
  <si>
    <t>63300</t>
  </si>
  <si>
    <t>Maquinaria, instal·lacions tècniques i utillatge</t>
  </si>
  <si>
    <t>Explotació mostra municipal EVAMB 2022</t>
  </si>
  <si>
    <t>Pla Estratègic Granollers</t>
  </si>
  <si>
    <t>Ajuntament de Granollers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</si>
  <si>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</si>
  <si>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</si>
  <si>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</si>
  <si>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</si>
  <si>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</si>
  <si>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</si>
  <si>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</si>
  <si>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</si>
  <si>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</si>
  <si>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Altres organismes autònoms i agències</t>
  </si>
  <si>
    <t>Altres transferències UE</t>
  </si>
  <si>
    <t>EIT Urban Mobility. Inclusify</t>
  </si>
  <si>
    <t>Subvenció línies treball vulnerabilitat urbana</t>
  </si>
  <si>
    <t>Subvenció OHB 2022 (25%)</t>
  </si>
  <si>
    <t>CAPÍTOL 8: Actius Financers</t>
  </si>
  <si>
    <t>Pressupost Inicial</t>
  </si>
  <si>
    <t>Actius Financers</t>
  </si>
  <si>
    <t>Romanent de Tresoreria amb despesa afectada</t>
  </si>
  <si>
    <t>Romanent de Tresoreria per a despeses generals</t>
  </si>
  <si>
    <t>Despeses (pagat)</t>
  </si>
  <si>
    <t>22610</t>
  </si>
  <si>
    <t>Comunicació</t>
  </si>
  <si>
    <t>CAPÍTOL 4: Transferències corrents</t>
  </si>
  <si>
    <t>Altres subvencios a societats mercantils, entitats públiques</t>
  </si>
  <si>
    <t>46700</t>
  </si>
  <si>
    <t>A Consorcis</t>
  </si>
  <si>
    <t>63200</t>
  </si>
  <si>
    <t>Edificis i altres construccions</t>
  </si>
  <si>
    <t>RESULTAT PRESSUPOSTARI</t>
  </si>
  <si>
    <t>Concepte</t>
  </si>
  <si>
    <t xml:space="preserve">Drets  </t>
  </si>
  <si>
    <t>Obligacions</t>
  </si>
  <si>
    <t>Ajustos</t>
  </si>
  <si>
    <t xml:space="preserve">Resultat </t>
  </si>
  <si>
    <t>reconeguts</t>
  </si>
  <si>
    <t>reconegudes</t>
  </si>
  <si>
    <t>pressupostari</t>
  </si>
  <si>
    <t xml:space="preserve">     a) Operacions corrents</t>
  </si>
  <si>
    <t>1. Total operacions no financeres (a+b)</t>
  </si>
  <si>
    <t>2. Actius financers</t>
  </si>
  <si>
    <t>3. Passius Financers</t>
  </si>
  <si>
    <t>RESULTAT PRESSUPOSTARI DE L'EXERCICI</t>
  </si>
  <si>
    <t>4. (+) Crèdits gastats finançats  amb romanent de tresoreria per a despeses generals</t>
  </si>
  <si>
    <t>5. (+) Desviacions de finançament negatives de l'exercici</t>
  </si>
  <si>
    <t>6. (-) Desviacions de finançament positives de l'exercici</t>
  </si>
  <si>
    <t>RESULTAT PRESSUPOSTARI AJUSTAT</t>
  </si>
  <si>
    <t>ROMANENT DE TRESORERIA</t>
  </si>
  <si>
    <t>Component</t>
  </si>
  <si>
    <t>Total</t>
  </si>
  <si>
    <t>1. (+) Fons líquids</t>
  </si>
  <si>
    <t>2. (+) Drets pendents de cobrament</t>
  </si>
  <si>
    <t xml:space="preserve">           '- (+) del pressupost corrent</t>
  </si>
  <si>
    <t xml:space="preserve">           '- (+) de pressupostos tancats</t>
  </si>
  <si>
    <t xml:space="preserve">           '- (+) d'operacions no pressupostàries</t>
  </si>
  <si>
    <t>3. (+) Obligacions pendents de pagament</t>
  </si>
  <si>
    <t>4.Partides pendents d'aplicació</t>
  </si>
  <si>
    <t xml:space="preserve">           '- (-) cobraments realitzats pendents d'aplicació definitiva</t>
  </si>
  <si>
    <t xml:space="preserve">           '- (+) pagaments realitzats pendents d'aplicació definitiva</t>
  </si>
  <si>
    <t>I. Romanent de tresoreria total (1+2-3)</t>
  </si>
  <si>
    <t>II. Saldos de dubtós cobrament</t>
  </si>
  <si>
    <t>III. Excés de finançament afectat</t>
  </si>
  <si>
    <t>IV. Romanent de tresoreria per a despeses generals (I-II-III)</t>
  </si>
  <si>
    <t xml:space="preserve">I+D AGROECOSCALING </t>
  </si>
  <si>
    <t xml:space="preserve">     b) Operacions de capital</t>
  </si>
  <si>
    <t xml:space="preserve"> </t>
  </si>
  <si>
    <t>PREVISIÓ ESTAT DE DESPESES: Programa: 462</t>
  </si>
  <si>
    <t>LIQUIDACIÓ PRESSUPOST IERMB 2023</t>
  </si>
  <si>
    <t>Vehicle privat i comerç</t>
  </si>
  <si>
    <t>Aval. del Fons Next Generation en matèria habitatge</t>
  </si>
  <si>
    <t>Suport Pla de Treball OHB 2023 (25%)</t>
  </si>
  <si>
    <t>Altres estudis (Xifres habitatge, visor dades, etc.)</t>
  </si>
  <si>
    <t>Drets reconeguts 31/12/2023</t>
  </si>
  <si>
    <t>Encomana de gestió Pla del Joc 2023</t>
  </si>
  <si>
    <t>Altres estudis</t>
  </si>
  <si>
    <t>D'organismes autònoms i agències de les CCAA</t>
  </si>
  <si>
    <t>Escola Administració Pública de Catalunya</t>
  </si>
  <si>
    <t>Subvenció OHB 2023 (25%)</t>
  </si>
  <si>
    <t>Aportació OHB 2023 (25%)</t>
  </si>
  <si>
    <t>Aportació OHB 2023 (12,5%) _ Incasòl</t>
  </si>
  <si>
    <t>Aportació OHB 2023 (12,5%) _ Agència Habitatge Catalunya</t>
  </si>
  <si>
    <t>De famílies e institucions sense ànim de lucre</t>
  </si>
  <si>
    <t>Observatori DESC</t>
  </si>
  <si>
    <t>Obligacions reconegudes 31/12/2023</t>
  </si>
  <si>
    <t>22003</t>
  </si>
  <si>
    <t>Llicències i programes informàtics</t>
  </si>
  <si>
    <t>SCOREWATER</t>
  </si>
  <si>
    <t>Ing. Ant. 2024: 295.342,64 €              -68883,03 (I+D RD 2022) /                 Prev. Ing. 2022: 220.609,82 €</t>
  </si>
  <si>
    <t>Desp. Ant. 2024: 186.494,29 € /        Ing.ant. 2023: 515585,25 €</t>
  </si>
  <si>
    <t>Reparacions, manteniment i conservació. Equips per a procès informació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</si>
</sst>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29" x14ac:knownFonts="1">
    <font>
      <sz val="11"/>
      <color theme="1"/>
      <name val="Open Sans"/>
      <family val="2"/>
      <scheme val="minor"/>
    </font>
    <font>
      <b/>
      <sz val="11"/>
      <color theme="1"/>
      <name val="Open Sans"/>
      <family val="2"/>
      <scheme val="minor"/>
    </font>
    <font>
      <i/>
      <sz val="11"/>
      <color theme="1"/>
      <name val="Open Sans"/>
      <family val="2"/>
      <scheme val="minor"/>
    </font>
    <font>
      <b/>
      <i/>
      <sz val="11"/>
      <color theme="1"/>
      <name val="Open Sans"/>
      <family val="2"/>
      <scheme val="minor"/>
    </font>
    <font>
      <b/>
      <u/>
      <sz val="14"/>
      <color theme="1"/>
      <name val="Open Sans"/>
      <family val="2"/>
      <scheme val="minor"/>
    </font>
    <font>
      <sz val="11"/>
      <name val="Open Sans"/>
      <family val="2"/>
      <scheme val="minor"/>
    </font>
    <font>
      <i/>
      <sz val="11"/>
      <name val="Open Sans"/>
      <family val="2"/>
      <scheme val="minor"/>
    </font>
    <font>
      <b/>
      <sz val="14"/>
      <color theme="1"/>
      <name val="Open Sans"/>
      <family val="2"/>
      <scheme val="minor"/>
    </font>
    <font>
      <b/>
      <sz val="13"/>
      <color theme="1"/>
      <name val="Open Sans"/>
      <family val="2"/>
      <scheme val="minor"/>
    </font>
    <font>
      <sz val="13"/>
      <color theme="1"/>
      <name val="Open Sans"/>
      <family val="2"/>
      <scheme val="minor"/>
    </font>
    <font>
      <sz val="8"/>
      <color theme="1"/>
      <name val="Open Sans"/>
      <family val="2"/>
      <scheme val="minor"/>
    </font>
    <font>
      <b/>
      <sz val="11"/>
      <name val="Open Sans"/>
      <family val="2"/>
      <scheme val="minor"/>
    </font>
    <font>
      <sz val="10"/>
      <name val="Arial"/>
      <family val="2"/>
    </font>
    <font>
      <b/>
      <sz val="14"/>
      <name val="Open Sans"/>
      <family val="2"/>
      <scheme val="minor"/>
    </font>
    <font>
      <sz val="10"/>
      <color theme="1"/>
      <name val="Open Sans"/>
      <family val="2"/>
      <scheme val="minor"/>
    </font>
    <font>
      <sz val="11"/>
      <color rgb="FFFF0000"/>
      <name val="Open Sans"/>
      <family val="2"/>
      <scheme val="minor"/>
    </font>
    <font>
      <i/>
      <sz val="11"/>
      <color rgb="FFFF0000"/>
      <name val="Open Sans"/>
      <family val="2"/>
      <scheme val="minor"/>
    </font>
    <font>
      <sz val="14"/>
      <name val="Open Sans"/>
      <family val="2"/>
      <scheme val="minor"/>
    </font>
    <font>
      <sz val="16"/>
      <color theme="1"/>
      <name val="Open Sans"/>
      <family val="2"/>
      <scheme val="minor"/>
    </font>
    <font>
      <sz val="8"/>
      <name val="Open Sans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Open Sans"/>
      <family val="2"/>
      <scheme val="minor"/>
    </font>
    <font>
      <u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8"/>
      <color theme="1"/>
      <name val="Open Sans"/>
      <family val="2"/>
      <scheme val="minor"/>
    </font>
    <font>
      <sz val="18"/>
      <color theme="1"/>
      <name val="Open San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92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0" borderId="0" xfId="0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10" fillId="0" borderId="0" xfId="0" applyFont="1"/>
    <xf numFmtId="4" fontId="11" fillId="0" borderId="6" xfId="0" applyNumberFormat="1" applyFont="1" applyBorder="1"/>
    <xf numFmtId="4" fontId="0" fillId="0" borderId="0" xfId="0" applyNumberFormat="1"/>
    <xf numFmtId="0" fontId="4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Border="1" applyAlignment="1">
      <alignment horizontal="center"/>
    </xf>
    <xf numFmtId="0" fontId="0" fillId="0" borderId="8" xfId="0" applyBorder="1"/>
    <xf numFmtId="4" fontId="0" fillId="0" borderId="12" xfId="0" applyNumberFormat="1" applyBorder="1"/>
    <xf numFmtId="3" fontId="13" fillId="2" borderId="8" xfId="0" applyNumberFormat="1" applyFont="1" applyFill="1" applyBorder="1" applyAlignment="1">
      <alignment horizontal="left"/>
    </xf>
    <xf numFmtId="0" fontId="17" fillId="2" borderId="8" xfId="0" applyFont="1" applyFill="1" applyBorder="1"/>
    <xf numFmtId="4" fontId="13" fillId="2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3" xfId="0" applyFont="1" applyFill="1" applyBorder="1" applyAlignment="1">
      <alignment horizontal="left"/>
    </xf>
    <xf numFmtId="0" fontId="1" fillId="2" borderId="13" xfId="0" applyFont="1" applyFill="1" applyBorder="1"/>
    <xf numFmtId="4" fontId="2" fillId="2" borderId="13" xfId="0" applyNumberFormat="1" applyFont="1" applyFill="1" applyBorder="1" applyAlignment="1">
      <alignment horizontal="left"/>
    </xf>
    <xf numFmtId="4" fontId="1" fillId="2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0" fontId="5" fillId="0" borderId="0" xfId="0" applyFont="1"/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" fillId="0" borderId="6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4" fontId="2" fillId="0" borderId="0" xfId="0" applyNumberFormat="1" applyFont="1" applyAlignment="1">
      <alignment horizontal="right"/>
    </xf>
    <xf numFmtId="4" fontId="5" fillId="0" borderId="12" xfId="0" applyNumberFormat="1" applyFont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0" fillId="0" borderId="10" xfId="0" applyBorder="1"/>
    <xf numFmtId="0" fontId="0" fillId="0" borderId="15" xfId="0" applyBorder="1"/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left"/>
    </xf>
    <xf numFmtId="164" fontId="18" fillId="0" borderId="0" xfId="0" applyNumberFormat="1" applyFont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9" fontId="0" fillId="0" borderId="0" xfId="0" applyNumberFormat="1" applyAlignment="1">
      <alignment horizontal="center"/>
    </xf>
    <xf numFmtId="49" fontId="0" fillId="0" borderId="17" xfId="0" applyNumberFormat="1" applyBorder="1" applyAlignment="1">
      <alignment horizontal="right"/>
    </xf>
    <xf numFmtId="4" fontId="11" fillId="0" borderId="16" xfId="0" applyNumberFormat="1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11" fillId="0" borderId="19" xfId="0" applyNumberFormat="1" applyFont="1" applyBorder="1"/>
    <xf numFmtId="4" fontId="11" fillId="0" borderId="19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4" fontId="5" fillId="0" borderId="17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6" xfId="0" applyNumberFormat="1" applyFont="1" applyBorder="1"/>
    <xf numFmtId="4" fontId="0" fillId="0" borderId="0" xfId="0" applyNumberFormat="1" applyAlignment="1">
      <alignment horizontal="right"/>
    </xf>
    <xf numFmtId="0" fontId="12" fillId="0" borderId="0" xfId="1"/>
    <xf numFmtId="0" fontId="2" fillId="0" borderId="20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right"/>
    </xf>
    <xf numFmtId="0" fontId="0" fillId="0" borderId="17" xfId="0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5" fillId="0" borderId="2" xfId="0" applyNumberFormat="1" applyFont="1" applyBorder="1"/>
    <xf numFmtId="0" fontId="21" fillId="0" borderId="22" xfId="0" applyFont="1" applyBorder="1"/>
    <xf numFmtId="0" fontId="21" fillId="0" borderId="23" xfId="0" applyFont="1" applyBorder="1"/>
    <xf numFmtId="0" fontId="22" fillId="0" borderId="23" xfId="0" applyFont="1" applyBorder="1"/>
    <xf numFmtId="0" fontId="22" fillId="0" borderId="24" xfId="0" applyFont="1" applyBorder="1" applyAlignment="1">
      <alignment horizontal="right"/>
    </xf>
    <xf numFmtId="4" fontId="22" fillId="0" borderId="0" xfId="0" applyNumberFormat="1" applyFont="1" applyAlignment="1">
      <alignment horizontal="right"/>
    </xf>
    <xf numFmtId="0" fontId="22" fillId="0" borderId="0" xfId="0" applyFont="1"/>
    <xf numFmtId="0" fontId="20" fillId="0" borderId="15" xfId="0" applyFont="1" applyBorder="1"/>
    <xf numFmtId="0" fontId="20" fillId="0" borderId="0" xfId="0" applyFont="1"/>
    <xf numFmtId="0" fontId="0" fillId="0" borderId="25" xfId="0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25" xfId="0" applyFon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26" xfId="0" applyNumberFormat="1" applyBorder="1"/>
    <xf numFmtId="4" fontId="0" fillId="0" borderId="27" xfId="0" applyNumberFormat="1" applyBorder="1" applyAlignment="1">
      <alignment horizontal="right"/>
    </xf>
    <xf numFmtId="0" fontId="23" fillId="0" borderId="15" xfId="0" applyFont="1" applyBorder="1"/>
    <xf numFmtId="0" fontId="23" fillId="0" borderId="0" xfId="0" applyFont="1"/>
    <xf numFmtId="0" fontId="0" fillId="0" borderId="15" xfId="0" applyBorder="1" applyAlignment="1">
      <alignment vertical="center"/>
    </xf>
    <xf numFmtId="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25" xfId="0" applyNumberFormat="1" applyBorder="1" applyAlignment="1">
      <alignment horizontal="right" vertical="center"/>
    </xf>
    <xf numFmtId="0" fontId="7" fillId="0" borderId="28" xfId="0" applyFont="1" applyBorder="1"/>
    <xf numFmtId="0" fontId="7" fillId="0" borderId="29" xfId="0" applyFont="1" applyBorder="1"/>
    <xf numFmtId="4" fontId="7" fillId="0" borderId="29" xfId="0" applyNumberFormat="1" applyFont="1" applyBorder="1"/>
    <xf numFmtId="4" fontId="7" fillId="0" borderId="9" xfId="0" applyNumberFormat="1" applyFont="1" applyBorder="1" applyAlignment="1">
      <alignment horizontal="right"/>
    </xf>
    <xf numFmtId="0" fontId="7" fillId="0" borderId="0" xfId="0" applyFont="1"/>
    <xf numFmtId="4" fontId="5" fillId="0" borderId="0" xfId="0" applyNumberFormat="1" applyFont="1"/>
    <xf numFmtId="4" fontId="7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4" fontId="2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31" xfId="0" applyNumberFormat="1" applyFont="1" applyBorder="1"/>
    <xf numFmtId="4" fontId="5" fillId="0" borderId="32" xfId="0" applyNumberFormat="1" applyFont="1" applyBorder="1"/>
    <xf numFmtId="4" fontId="5" fillId="0" borderId="26" xfId="0" applyNumberFormat="1" applyFont="1" applyBorder="1"/>
    <xf numFmtId="4" fontId="5" fillId="0" borderId="27" xfId="0" applyNumberFormat="1" applyFont="1" applyBorder="1"/>
    <xf numFmtId="4" fontId="13" fillId="0" borderId="29" xfId="0" applyNumberFormat="1" applyFont="1" applyBorder="1"/>
    <xf numFmtId="4" fontId="13" fillId="0" borderId="34" xfId="0" applyNumberFormat="1" applyFont="1" applyBorder="1"/>
    <xf numFmtId="4" fontId="11" fillId="0" borderId="0" xfId="0" applyNumberFormat="1" applyFont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6" fillId="0" borderId="15" xfId="0" applyFont="1" applyBorder="1"/>
    <xf numFmtId="0" fontId="24" fillId="0" borderId="0" xfId="0" applyFont="1"/>
    <xf numFmtId="0" fontId="5" fillId="0" borderId="25" xfId="0" applyFont="1" applyBorder="1"/>
    <xf numFmtId="0" fontId="24" fillId="0" borderId="15" xfId="0" applyFont="1" applyBorder="1"/>
    <xf numFmtId="0" fontId="5" fillId="0" borderId="15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3" xfId="0" applyFont="1" applyBorder="1"/>
    <xf numFmtId="0" fontId="5" fillId="0" borderId="26" xfId="0" applyFont="1" applyBorder="1"/>
    <xf numFmtId="0" fontId="13" fillId="0" borderId="28" xfId="0" applyFont="1" applyBorder="1"/>
    <xf numFmtId="0" fontId="13" fillId="0" borderId="29" xfId="0" applyFont="1" applyBorder="1"/>
    <xf numFmtId="0" fontId="13" fillId="0" borderId="0" xfId="0" applyFont="1"/>
    <xf numFmtId="0" fontId="2" fillId="0" borderId="7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3" borderId="3" xfId="0" applyFont="1" applyFill="1" applyBorder="1"/>
    <xf numFmtId="0" fontId="28" fillId="3" borderId="5" xfId="0" applyFont="1" applyFill="1" applyBorder="1"/>
    <xf numFmtId="14" fontId="27" fillId="3" borderId="4" xfId="0" applyNumberFormat="1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4" fontId="8" fillId="3" borderId="9" xfId="0" applyNumberFormat="1" applyFont="1" applyFill="1" applyBorder="1"/>
    <xf numFmtId="4" fontId="8" fillId="3" borderId="4" xfId="0" applyNumberFormat="1" applyFont="1" applyFill="1" applyBorder="1"/>
    <xf numFmtId="0" fontId="8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4" fontId="8" fillId="3" borderId="9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9" fillId="3" borderId="5" xfId="0" applyFont="1" applyFill="1" applyBorder="1"/>
    <xf numFmtId="4" fontId="8" fillId="3" borderId="5" xfId="0" applyNumberFormat="1" applyFont="1" applyFill="1" applyBorder="1" applyAlignment="1">
      <alignment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1209852</xdr:colOff>
      <xdr:row>0</xdr:row>
      <xdr:rowOff>110986</xdr:rowOff>
    </xdr:from>
    <xdr:to>
      <xdr:col>9</xdr:col>
      <xdr:colOff>1183085</xdr:colOff>
      <xdr:row>3</xdr:row>
      <xdr:rowOff>63432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E47B65A-3D40-44D3-BC1B-8B3CA82B8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613" y="110986"/>
          <a:ext cx="1372994" cy="72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stitut Metròpoli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3"/>
  <sheetViews>
    <sheetView showGridLines="0" tabSelected="1" view="pageLayout" zoomScale="85" zoomScaleNormal="115" zoomScalePageLayoutView="85" workbookViewId="0">
      <selection activeCell="B2" sqref="B2"/>
    </sheetView>
  </sheetViews>
  <sheetFormatPr defaultColWidth="11.33203125" defaultRowHeight="16.5" x14ac:dyDescent="0.3"/>
  <cols>
    <col min="1" max="1" width="1.44140625" customWidth="1"/>
    <col min="2" max="2" width="10.77734375" customWidth="1"/>
    <col min="3" max="3" width="34.88671875" customWidth="1"/>
    <col min="4" max="4" width="18.33203125" customWidth="1"/>
    <col min="5" max="5" width="16.77734375" customWidth="1"/>
    <col min="6" max="6" width="16.88671875" customWidth="1"/>
    <col min="7" max="7" width="17.33203125" customWidth="1"/>
    <col min="8" max="8" width="16.6640625" customWidth="1"/>
    <col min="9" max="9" width="16.33203125" customWidth="1"/>
    <col min="10" max="10" width="15.33203125" customWidth="1"/>
    <col min="11" max="11" width="3.6640625" customWidth="1"/>
  </cols>
  <sheetData>
    <row r="1" spans="2:10" ht="17.25" thickBot="1" x14ac:dyDescent="0.35"/>
    <row r="2" spans="2:10" s="172" customFormat="1" ht="27.75" thickBot="1" x14ac:dyDescent="0.55000000000000004">
      <c r="B2" s="173" t="s">
        <v>186</v>
      </c>
      <c r="C2" s="174"/>
      <c r="D2" s="174"/>
      <c r="E2" s="174"/>
      <c r="F2" s="174"/>
      <c r="G2" s="174"/>
      <c r="H2" s="175">
        <v>45291</v>
      </c>
    </row>
    <row r="4" spans="2:10" ht="21" x14ac:dyDescent="0.4">
      <c r="B4" s="19" t="s">
        <v>44</v>
      </c>
    </row>
    <row r="5" spans="2:10" ht="17.25" thickBot="1" x14ac:dyDescent="0.35"/>
    <row r="6" spans="2:10" s="21" customFormat="1" ht="44.25" customHeight="1" thickBot="1" x14ac:dyDescent="0.35">
      <c r="B6" s="20" t="s">
        <v>47</v>
      </c>
      <c r="C6" s="79" t="s">
        <v>83</v>
      </c>
      <c r="D6" s="60" t="s">
        <v>135</v>
      </c>
      <c r="E6" s="78" t="s">
        <v>120</v>
      </c>
      <c r="F6" s="78" t="s">
        <v>121</v>
      </c>
      <c r="G6" s="95" t="s">
        <v>191</v>
      </c>
      <c r="H6" s="78" t="s">
        <v>122</v>
      </c>
      <c r="I6" s="96" t="s">
        <v>123</v>
      </c>
      <c r="J6" s="97" t="s">
        <v>124</v>
      </c>
    </row>
    <row r="7" spans="2:10" x14ac:dyDescent="0.3">
      <c r="B7" s="22"/>
      <c r="C7" s="23"/>
      <c r="D7" s="24"/>
      <c r="E7" s="24"/>
      <c r="F7" s="24"/>
      <c r="G7" s="51"/>
      <c r="I7" s="98"/>
      <c r="J7" s="98"/>
    </row>
    <row r="8" spans="2:10" x14ac:dyDescent="0.3">
      <c r="B8" s="25">
        <v>3</v>
      </c>
      <c r="C8" s="26" t="s">
        <v>84</v>
      </c>
      <c r="D8" s="77">
        <f>'Cap. 3 Ing. vendes'!F3</f>
        <v>611394.98</v>
      </c>
      <c r="E8" s="77">
        <f>'Cap. 3 Ing. vendes'!G3</f>
        <v>260427.92</v>
      </c>
      <c r="F8" s="77">
        <f>'Cap. 3 Ing. vendes'!H3</f>
        <v>871822.89999999991</v>
      </c>
      <c r="G8" s="77">
        <f>'Cap. 3 Ing. vendes'!I3</f>
        <v>845485.62999999989</v>
      </c>
      <c r="H8" s="77">
        <f>'Cap. 3 Ing. vendes'!J3</f>
        <v>86573.599999999977</v>
      </c>
      <c r="I8" s="77">
        <f>'Cap. 3 Ing. vendes'!K3</f>
        <v>758912.03</v>
      </c>
      <c r="J8" s="77">
        <f>'Cap. 3 Ing. vendes'!L3</f>
        <v>-26337.270000000011</v>
      </c>
    </row>
    <row r="9" spans="2:10" x14ac:dyDescent="0.3">
      <c r="B9" s="25">
        <v>4</v>
      </c>
      <c r="C9" s="26" t="s">
        <v>55</v>
      </c>
      <c r="D9" s="77">
        <f>'Cap. 4 Ing. Transf.corrents'!F3</f>
        <v>3006944.16</v>
      </c>
      <c r="E9" s="77">
        <f>'Cap. 4 Ing. Transf.corrents'!G3</f>
        <v>682646.27000000014</v>
      </c>
      <c r="F9" s="77">
        <f>'Cap. 4 Ing. Transf.corrents'!H3</f>
        <v>3689590.43</v>
      </c>
      <c r="G9" s="77">
        <f>'Cap. 4 Ing. Transf.corrents'!I3</f>
        <v>3613021.23</v>
      </c>
      <c r="H9" s="77">
        <f>'Cap. 4 Ing. Transf.corrents'!J3</f>
        <v>193955.10000000006</v>
      </c>
      <c r="I9" s="77">
        <f>'Cap. 4 Ing. Transf.corrents'!K3</f>
        <v>3419066.1300000004</v>
      </c>
      <c r="J9" s="77">
        <f>'Cap. 4 Ing. Transf.corrents'!L3</f>
        <v>-76569.199999999895</v>
      </c>
    </row>
    <row r="10" spans="2:10" x14ac:dyDescent="0.3">
      <c r="B10" s="25">
        <v>5</v>
      </c>
      <c r="C10" s="26" t="s">
        <v>56</v>
      </c>
      <c r="D10" s="27">
        <f>'Cap. 5 i Cap. 8 Ing. pat -rom.'!F3</f>
        <v>30</v>
      </c>
      <c r="E10" s="27">
        <f>'Cap. 5 i Cap. 8 Ing. pat -rom.'!G3</f>
        <v>0</v>
      </c>
      <c r="F10" s="27">
        <f>'Cap. 5 i Cap. 8 Ing. pat -rom.'!H3</f>
        <v>30</v>
      </c>
      <c r="G10" s="27">
        <f>'Cap. 5 i Cap. 8 Ing. pat -rom.'!I3</f>
        <v>0</v>
      </c>
      <c r="H10" s="27">
        <f>'Cap. 5 i Cap. 8 Ing. pat -rom.'!J3</f>
        <v>0</v>
      </c>
      <c r="I10" s="27">
        <f>'Cap. 5 i Cap. 8 Ing. pat -rom.'!K3</f>
        <v>0</v>
      </c>
      <c r="J10" s="27">
        <f>'Cap. 5 i Cap. 8 Ing. pat -rom.'!L3</f>
        <v>-30</v>
      </c>
    </row>
    <row r="11" spans="2:10" x14ac:dyDescent="0.3">
      <c r="B11" s="25">
        <v>8</v>
      </c>
      <c r="C11" s="26" t="s">
        <v>127</v>
      </c>
      <c r="D11" s="77">
        <f>'Cap. 5 i Cap. 8 Ing. pat -rom.'!F13</f>
        <v>0</v>
      </c>
      <c r="E11" s="77">
        <f>'Cap. 5 i Cap. 8 Ing. pat -rom.'!G13</f>
        <v>591730.82000000007</v>
      </c>
      <c r="F11" s="77">
        <f>'Cap. 5 i Cap. 8 Ing. pat -rom.'!H13</f>
        <v>591730.82000000007</v>
      </c>
      <c r="G11" s="77">
        <f>'Cap. 5 i Cap. 8 Ing. pat -rom.'!I13</f>
        <v>0</v>
      </c>
      <c r="H11" s="77">
        <f>'Cap. 5 i Cap. 8 Ing. pat -rom.'!J13</f>
        <v>0</v>
      </c>
      <c r="I11" s="77">
        <f>'Cap. 5 i Cap. 8 Ing. pat -rom.'!K13</f>
        <v>0</v>
      </c>
      <c r="J11" s="77">
        <f>'Cap. 5 i Cap. 8 Ing. pat -rom.'!L13</f>
        <v>-591730.82000000007</v>
      </c>
    </row>
    <row r="12" spans="2:10" x14ac:dyDescent="0.3">
      <c r="C12" s="1"/>
    </row>
    <row r="13" spans="2:10" s="31" customFormat="1" ht="21" x14ac:dyDescent="0.4">
      <c r="B13" s="28" t="s">
        <v>57</v>
      </c>
      <c r="C13" s="29"/>
      <c r="D13" s="30">
        <f>SUM(D8:D12)</f>
        <v>3618369.14</v>
      </c>
      <c r="E13" s="30">
        <f t="shared" ref="E13:I13" si="0">SUM(E8:E12)</f>
        <v>1534805.0100000002</v>
      </c>
      <c r="F13" s="30">
        <f t="shared" si="0"/>
        <v>5153174.1500000004</v>
      </c>
      <c r="G13" s="30">
        <f t="shared" si="0"/>
        <v>4458506.8599999994</v>
      </c>
      <c r="H13" s="30">
        <f t="shared" si="0"/>
        <v>280528.70000000007</v>
      </c>
      <c r="I13" s="30">
        <f t="shared" si="0"/>
        <v>4177978.16</v>
      </c>
      <c r="J13" s="30">
        <f>SUM(J8:J12)</f>
        <v>-694667.29</v>
      </c>
    </row>
    <row r="14" spans="2:10" x14ac:dyDescent="0.3">
      <c r="B14" s="32"/>
    </row>
    <row r="15" spans="2:10" x14ac:dyDescent="0.3">
      <c r="B15" s="32"/>
      <c r="E15" s="18"/>
      <c r="G15" s="18"/>
    </row>
    <row r="16" spans="2:10" ht="21" x14ac:dyDescent="0.4">
      <c r="B16" s="19" t="s">
        <v>185</v>
      </c>
      <c r="G16" s="18"/>
      <c r="I16" s="18"/>
    </row>
    <row r="17" spans="2:10" ht="17.25" thickBot="1" x14ac:dyDescent="0.35"/>
    <row r="18" spans="2:10" s="21" customFormat="1" ht="47.25" customHeight="1" thickBot="1" x14ac:dyDescent="0.35">
      <c r="B18" s="20" t="s">
        <v>47</v>
      </c>
      <c r="C18" s="79" t="s">
        <v>83</v>
      </c>
      <c r="D18" s="60" t="s">
        <v>135</v>
      </c>
      <c r="E18" s="78" t="s">
        <v>120</v>
      </c>
      <c r="F18" s="78" t="s">
        <v>121</v>
      </c>
      <c r="G18" s="95" t="s">
        <v>202</v>
      </c>
      <c r="H18" s="78" t="s">
        <v>125</v>
      </c>
      <c r="I18" s="96" t="s">
        <v>126</v>
      </c>
      <c r="J18" s="97" t="s">
        <v>124</v>
      </c>
    </row>
    <row r="19" spans="2:10" x14ac:dyDescent="0.3">
      <c r="B19" s="22"/>
      <c r="C19" s="23"/>
      <c r="D19" s="33"/>
      <c r="E19" s="33"/>
      <c r="F19" s="33"/>
    </row>
    <row r="20" spans="2:10" x14ac:dyDescent="0.3">
      <c r="B20" s="25">
        <v>1</v>
      </c>
      <c r="C20" s="26" t="s">
        <v>85</v>
      </c>
      <c r="D20" s="80">
        <f>'Cap. 1 Desp. Personal'!F3</f>
        <v>2735231.45052</v>
      </c>
      <c r="E20" s="80">
        <f>'Cap. 1 Desp. Personal'!G3</f>
        <v>931401.7</v>
      </c>
      <c r="F20" s="80">
        <f>'Cap. 1 Desp. Personal'!H3</f>
        <v>3666633.1505200001</v>
      </c>
      <c r="G20" s="80">
        <f>'Cap. 1 Desp. Personal'!I3</f>
        <v>3565567.4700000007</v>
      </c>
      <c r="H20" s="80">
        <f>'Cap. 1 Desp. Personal'!J3</f>
        <v>0</v>
      </c>
      <c r="I20" s="80">
        <f>'Cap. 1 Desp. Personal'!K3</f>
        <v>3565567.4700000007</v>
      </c>
      <c r="J20" s="80">
        <f>'Cap. 1 Desp. Personal'!L3</f>
        <v>101065.68051999986</v>
      </c>
    </row>
    <row r="21" spans="2:10" x14ac:dyDescent="0.3">
      <c r="B21" s="25">
        <v>2</v>
      </c>
      <c r="C21" s="26" t="s">
        <v>58</v>
      </c>
      <c r="D21" s="80">
        <f>'Cap. 2 Desp.Corrents'!F3</f>
        <v>856207.69</v>
      </c>
      <c r="E21" s="80">
        <f>'Cap. 2 Desp.Corrents'!G3</f>
        <v>516354.70999999996</v>
      </c>
      <c r="F21" s="80">
        <f>'Cap. 2 Desp.Corrents'!H3</f>
        <v>1372562.4000000001</v>
      </c>
      <c r="G21" s="80">
        <f>'Cap. 2 Desp.Corrents'!I3</f>
        <v>1234805.4100000001</v>
      </c>
      <c r="H21" s="80">
        <f>'Cap. 2 Desp.Corrents'!J3</f>
        <v>363555.35000000003</v>
      </c>
      <c r="I21" s="80">
        <f>'Cap. 2 Desp.Corrents'!K3</f>
        <v>871250.06</v>
      </c>
      <c r="J21" s="80">
        <f>'Cap. 2 Desp.Corrents'!L3</f>
        <v>137756.98999999985</v>
      </c>
    </row>
    <row r="22" spans="2:10" x14ac:dyDescent="0.3">
      <c r="B22" s="25">
        <v>3</v>
      </c>
      <c r="C22" s="26" t="s">
        <v>59</v>
      </c>
      <c r="D22" s="80">
        <f>'Cap. 3-4-6 Df,Tc,Inv'!F3</f>
        <v>430</v>
      </c>
      <c r="E22" s="80">
        <f>'Cap. 3-4-6 Df,Tc,Inv'!G3</f>
        <v>-280</v>
      </c>
      <c r="F22" s="80">
        <f>'Cap. 3-4-6 Df,Tc,Inv'!H3</f>
        <v>150</v>
      </c>
      <c r="G22" s="80">
        <f>'Cap. 3-4-6 Df,Tc,Inv'!I3</f>
        <v>145.31</v>
      </c>
      <c r="H22" s="80">
        <f>'Cap. 3-4-6 Df,Tc,Inv'!J3</f>
        <v>0</v>
      </c>
      <c r="I22" s="80">
        <f>'Cap. 3-4-6 Df,Tc,Inv'!K3</f>
        <v>145.31</v>
      </c>
      <c r="J22" s="80">
        <f>'Cap. 3-4-6 Df,Tc,Inv'!L3</f>
        <v>4.6899999999999977</v>
      </c>
    </row>
    <row r="23" spans="2:10" x14ac:dyDescent="0.3">
      <c r="B23" s="25">
        <v>4</v>
      </c>
      <c r="C23" s="26" t="s">
        <v>128</v>
      </c>
      <c r="D23" s="80">
        <f>'Cap. 3-4-6 Df,Tc,Inv'!F12</f>
        <v>0</v>
      </c>
      <c r="E23" s="80">
        <f>'Cap. 3-4-6 Df,Tc,Inv'!G12</f>
        <v>63985.009999999995</v>
      </c>
      <c r="F23" s="80">
        <f>'Cap. 3-4-6 Df,Tc,Inv'!H12</f>
        <v>63985.009999999995</v>
      </c>
      <c r="G23" s="80">
        <f>'Cap. 3-4-6 Df,Tc,Inv'!I12</f>
        <v>63985.009999999995</v>
      </c>
      <c r="H23" s="80">
        <f>'Cap. 3-4-6 Df,Tc,Inv'!J12</f>
        <v>0</v>
      </c>
      <c r="I23" s="80">
        <f>'Cap. 3-4-6 Df,Tc,Inv'!K12</f>
        <v>63985.009999999995</v>
      </c>
      <c r="J23" s="80">
        <f>'Cap. 3-4-6 Df,Tc,Inv'!L12</f>
        <v>0</v>
      </c>
    </row>
    <row r="24" spans="2:10" x14ac:dyDescent="0.3">
      <c r="B24" s="25">
        <v>6</v>
      </c>
      <c r="C24" s="26" t="s">
        <v>60</v>
      </c>
      <c r="D24" s="80">
        <f>'Cap. 3-4-6 Df,Tc,Inv'!F21</f>
        <v>26500</v>
      </c>
      <c r="E24" s="80">
        <f>'Cap. 3-4-6 Df,Tc,Inv'!G21</f>
        <v>23343.59</v>
      </c>
      <c r="F24" s="80">
        <f>'Cap. 3-4-6 Df,Tc,Inv'!H21</f>
        <v>49843.59</v>
      </c>
      <c r="G24" s="80">
        <f>'Cap. 3-4-6 Df,Tc,Inv'!I21</f>
        <v>49598.57</v>
      </c>
      <c r="H24" s="80">
        <f>'Cap. 3-4-6 Df,Tc,Inv'!J21</f>
        <v>0</v>
      </c>
      <c r="I24" s="80">
        <f>'Cap. 3-4-6 Df,Tc,Inv'!K21</f>
        <v>49598.57</v>
      </c>
      <c r="J24" s="80">
        <f>'Cap. 3-4-6 Df,Tc,Inv'!L21</f>
        <v>245.01999999999816</v>
      </c>
    </row>
    <row r="26" spans="2:10" s="31" customFormat="1" ht="21" x14ac:dyDescent="0.4">
      <c r="B26" s="28" t="s">
        <v>61</v>
      </c>
      <c r="C26" s="29"/>
      <c r="D26" s="30">
        <f>SUM(D20:D25)</f>
        <v>3618369.1405199999</v>
      </c>
      <c r="E26" s="30">
        <f t="shared" ref="E26:I26" si="1">SUM(E20:E25)</f>
        <v>1534805.01</v>
      </c>
      <c r="F26" s="30">
        <f>SUM(F20:F25)</f>
        <v>5153174.1505199997</v>
      </c>
      <c r="G26" s="30">
        <f t="shared" si="1"/>
        <v>4914101.7700000005</v>
      </c>
      <c r="H26" s="30">
        <f t="shared" si="1"/>
        <v>363555.35000000003</v>
      </c>
      <c r="I26" s="30">
        <f t="shared" si="1"/>
        <v>4550546.4200000009</v>
      </c>
      <c r="J26" s="30">
        <f>SUM(J20:J25)</f>
        <v>239072.38051999969</v>
      </c>
    </row>
    <row r="28" spans="2:10" ht="24.75" customHeight="1" x14ac:dyDescent="0.3">
      <c r="D28" s="18"/>
      <c r="E28" s="18">
        <f t="shared" ref="E28:I28" si="2">E13-E26</f>
        <v>0</v>
      </c>
      <c r="F28" s="18">
        <f t="shared" si="2"/>
        <v>-5.1999930292367935E-4</v>
      </c>
      <c r="G28" s="18">
        <f>G13-G26</f>
        <v>-455594.91000000108</v>
      </c>
      <c r="H28" s="18">
        <f t="shared" si="2"/>
        <v>-83026.649999999965</v>
      </c>
      <c r="I28" s="18">
        <f t="shared" si="2"/>
        <v>-372568.26000000071</v>
      </c>
      <c r="J28" s="18">
        <f>J13+J26</f>
        <v>-455594.90948000038</v>
      </c>
    </row>
    <row r="29" spans="2:10" x14ac:dyDescent="0.3">
      <c r="C29" s="76"/>
      <c r="D29" s="18"/>
    </row>
    <row r="30" spans="2:10" x14ac:dyDescent="0.3">
      <c r="D30" s="18"/>
    </row>
    <row r="32" spans="2:10" x14ac:dyDescent="0.3">
      <c r="B32" s="34"/>
      <c r="D32" s="18"/>
    </row>
    <row r="33" spans="2:10" x14ac:dyDescent="0.3">
      <c r="B33" s="34"/>
    </row>
    <row r="34" spans="2:10" ht="15" customHeight="1" x14ac:dyDescent="0.3"/>
    <row r="37" spans="2:10" ht="6.75" customHeight="1" x14ac:dyDescent="0.3"/>
    <row r="38" spans="2:10" ht="9" customHeight="1" thickBot="1" x14ac:dyDescent="0.35"/>
    <row r="39" spans="2:10" s="121" customFormat="1" ht="21" x14ac:dyDescent="0.4">
      <c r="B39" s="116" t="s">
        <v>148</v>
      </c>
      <c r="C39" s="117"/>
      <c r="D39" s="118"/>
      <c r="E39" s="118"/>
      <c r="F39" s="118"/>
      <c r="G39" s="118"/>
      <c r="H39" s="118"/>
      <c r="I39" s="119"/>
      <c r="J39" s="120"/>
    </row>
    <row r="40" spans="2:10" ht="3.75" customHeight="1" x14ac:dyDescent="0.3">
      <c r="B40" s="122"/>
      <c r="C40" s="123"/>
      <c r="I40" s="124"/>
      <c r="J40" s="7"/>
    </row>
    <row r="41" spans="2:10" x14ac:dyDescent="0.3">
      <c r="B41" s="122" t="s">
        <v>149</v>
      </c>
      <c r="C41" s="123"/>
      <c r="F41" s="125" t="s">
        <v>150</v>
      </c>
      <c r="G41" s="125" t="s">
        <v>151</v>
      </c>
      <c r="H41" s="125" t="s">
        <v>152</v>
      </c>
      <c r="I41" s="126" t="s">
        <v>153</v>
      </c>
      <c r="J41" s="7"/>
    </row>
    <row r="42" spans="2:10" ht="15" customHeight="1" x14ac:dyDescent="0.3">
      <c r="B42" s="83"/>
      <c r="F42" s="125" t="s">
        <v>154</v>
      </c>
      <c r="G42" s="125" t="s">
        <v>155</v>
      </c>
      <c r="H42" s="125"/>
      <c r="I42" s="126" t="s">
        <v>156</v>
      </c>
      <c r="J42" s="7"/>
    </row>
    <row r="43" spans="2:10" ht="9" customHeight="1" x14ac:dyDescent="0.3">
      <c r="B43" s="83"/>
      <c r="F43" s="125"/>
      <c r="G43" s="125"/>
      <c r="H43" s="125"/>
      <c r="I43" s="126"/>
      <c r="J43" s="7"/>
    </row>
    <row r="44" spans="2:10" x14ac:dyDescent="0.3">
      <c r="B44" s="83" t="s">
        <v>157</v>
      </c>
      <c r="F44" s="18">
        <f>G8+G9</f>
        <v>4458506.8599999994</v>
      </c>
      <c r="G44" s="18">
        <f>G20+G21+G22+G23</f>
        <v>4864503.2</v>
      </c>
      <c r="H44" s="18"/>
      <c r="I44" s="127">
        <f>F44-G44</f>
        <v>-405996.34000000078</v>
      </c>
      <c r="J44" s="7"/>
    </row>
    <row r="45" spans="2:10" x14ac:dyDescent="0.3">
      <c r="B45" s="83" t="s">
        <v>183</v>
      </c>
      <c r="F45" s="18">
        <v>0</v>
      </c>
      <c r="G45" s="18">
        <f>G24</f>
        <v>49598.57</v>
      </c>
      <c r="H45" s="18"/>
      <c r="I45" s="127">
        <f>F45-G45</f>
        <v>-49598.57</v>
      </c>
      <c r="J45" s="7"/>
    </row>
    <row r="46" spans="2:10" x14ac:dyDescent="0.3">
      <c r="B46" s="83" t="s">
        <v>158</v>
      </c>
      <c r="F46" s="18">
        <f>SUM(F44:F45)</f>
        <v>4458506.8599999994</v>
      </c>
      <c r="G46" s="18">
        <f>SUM(G44:G45)</f>
        <v>4914101.7700000005</v>
      </c>
      <c r="H46" s="18"/>
      <c r="I46" s="127">
        <f>F46-G46</f>
        <v>-455594.91000000108</v>
      </c>
      <c r="J46" s="7"/>
    </row>
    <row r="47" spans="2:10" x14ac:dyDescent="0.3">
      <c r="B47" s="83" t="s">
        <v>159</v>
      </c>
      <c r="F47" s="18">
        <f>I69</f>
        <v>0</v>
      </c>
      <c r="G47" s="18">
        <v>0</v>
      </c>
      <c r="H47" s="18"/>
      <c r="I47" s="127">
        <f>F47-G47</f>
        <v>0</v>
      </c>
      <c r="J47" s="7"/>
    </row>
    <row r="48" spans="2:10" x14ac:dyDescent="0.3">
      <c r="B48" s="83" t="s">
        <v>160</v>
      </c>
      <c r="F48" s="18">
        <v>0</v>
      </c>
      <c r="G48" s="18">
        <v>0</v>
      </c>
      <c r="H48" s="18"/>
      <c r="I48" s="127">
        <f>F48-G48</f>
        <v>0</v>
      </c>
      <c r="J48" s="7"/>
    </row>
    <row r="49" spans="2:12" ht="10.5" customHeight="1" x14ac:dyDescent="0.3">
      <c r="B49" s="83"/>
      <c r="F49" s="128"/>
      <c r="G49" s="128"/>
      <c r="H49" s="18"/>
      <c r="I49" s="129"/>
      <c r="J49" s="7"/>
    </row>
    <row r="50" spans="2:12" x14ac:dyDescent="0.3">
      <c r="B50" s="83" t="s">
        <v>161</v>
      </c>
      <c r="F50" s="18">
        <f>SUM(F46:F48)</f>
        <v>4458506.8599999994</v>
      </c>
      <c r="G50" s="18">
        <f>SUM(G46:G48)</f>
        <v>4914101.7700000005</v>
      </c>
      <c r="H50" s="18"/>
      <c r="I50" s="127">
        <f>F50-G50</f>
        <v>-455594.91000000108</v>
      </c>
      <c r="J50" s="7"/>
    </row>
    <row r="51" spans="2:12" ht="9.75" customHeight="1" x14ac:dyDescent="0.3">
      <c r="B51" s="83"/>
      <c r="F51" s="18"/>
      <c r="G51" s="18"/>
      <c r="H51" s="18"/>
      <c r="I51" s="127"/>
      <c r="J51" s="7"/>
    </row>
    <row r="52" spans="2:12" x14ac:dyDescent="0.3">
      <c r="B52" s="130" t="s">
        <v>152</v>
      </c>
      <c r="C52" s="131"/>
      <c r="F52" s="18"/>
      <c r="G52" s="18"/>
      <c r="H52" s="18"/>
      <c r="I52" s="127"/>
      <c r="J52" s="7"/>
      <c r="L52" s="18"/>
    </row>
    <row r="53" spans="2:12" x14ac:dyDescent="0.3">
      <c r="B53" s="132" t="s">
        <v>162</v>
      </c>
      <c r="C53" s="101"/>
      <c r="D53" s="101"/>
      <c r="E53" s="101"/>
      <c r="F53" s="133"/>
      <c r="G53" s="133"/>
      <c r="H53" s="134">
        <v>7262.54</v>
      </c>
      <c r="I53" s="135"/>
      <c r="J53" s="84"/>
      <c r="K53" s="51"/>
    </row>
    <row r="54" spans="2:12" ht="25.15" customHeight="1" x14ac:dyDescent="0.3">
      <c r="B54" s="132" t="s">
        <v>163</v>
      </c>
      <c r="C54" s="101"/>
      <c r="D54" s="101"/>
      <c r="E54" s="101"/>
      <c r="F54" s="133"/>
      <c r="G54" s="133"/>
      <c r="H54" s="134">
        <f>186494.29+515585.25</f>
        <v>702079.54</v>
      </c>
      <c r="I54" s="135"/>
      <c r="J54" s="186" t="s">
        <v>207</v>
      </c>
      <c r="K54" s="187"/>
    </row>
    <row r="55" spans="2:12" ht="39.75" customHeight="1" x14ac:dyDescent="0.3">
      <c r="B55" s="132" t="s">
        <v>164</v>
      </c>
      <c r="C55" s="101"/>
      <c r="D55" s="101"/>
      <c r="E55" s="101"/>
      <c r="F55" s="133"/>
      <c r="G55" s="133"/>
      <c r="H55" s="134">
        <f>295342.64-68883.03+220609.82</f>
        <v>447069.43000000005</v>
      </c>
      <c r="I55" s="135">
        <f>H53+H54-H55</f>
        <v>262272.65000000002</v>
      </c>
      <c r="J55" s="188" t="s">
        <v>206</v>
      </c>
      <c r="K55" s="189"/>
    </row>
    <row r="56" spans="2:12" ht="4.5" customHeight="1" thickBot="1" x14ac:dyDescent="0.35">
      <c r="B56" s="83"/>
      <c r="F56" s="18"/>
      <c r="G56" s="18"/>
      <c r="H56" s="18"/>
      <c r="I56" s="127"/>
      <c r="J56" s="7"/>
    </row>
    <row r="57" spans="2:12" s="140" customFormat="1" ht="21.75" thickBot="1" x14ac:dyDescent="0.45">
      <c r="B57" s="136" t="s">
        <v>165</v>
      </c>
      <c r="C57" s="137"/>
      <c r="D57" s="137"/>
      <c r="E57" s="137"/>
      <c r="F57" s="138"/>
      <c r="G57" s="138"/>
      <c r="H57" s="138"/>
      <c r="I57" s="139">
        <f>I50+I55</f>
        <v>-193322.26000000106</v>
      </c>
      <c r="J57" s="142"/>
    </row>
    <row r="58" spans="2:12" ht="8.25" customHeight="1" thickBot="1" x14ac:dyDescent="0.35"/>
    <row r="59" spans="2:12" s="51" customFormat="1" ht="3.75" customHeight="1" x14ac:dyDescent="0.3">
      <c r="B59" s="155"/>
      <c r="C59" s="156"/>
      <c r="D59" s="156"/>
      <c r="E59" s="156"/>
      <c r="F59" s="156"/>
      <c r="G59" s="157"/>
    </row>
    <row r="60" spans="2:12" s="51" customFormat="1" ht="18.75" x14ac:dyDescent="0.3">
      <c r="B60" s="158" t="s">
        <v>166</v>
      </c>
      <c r="C60" s="159"/>
      <c r="G60" s="160"/>
    </row>
    <row r="61" spans="2:12" s="51" customFormat="1" ht="6.75" customHeight="1" x14ac:dyDescent="0.3">
      <c r="B61" s="161"/>
      <c r="C61" s="159"/>
      <c r="G61" s="160"/>
    </row>
    <row r="62" spans="2:12" s="51" customFormat="1" x14ac:dyDescent="0.3">
      <c r="B62" s="161" t="s">
        <v>167</v>
      </c>
      <c r="C62" s="159"/>
      <c r="F62" s="143"/>
      <c r="G62" s="144" t="s">
        <v>168</v>
      </c>
    </row>
    <row r="63" spans="2:12" s="51" customFormat="1" ht="5.65" customHeight="1" x14ac:dyDescent="0.3">
      <c r="B63" s="162"/>
      <c r="F63" s="143"/>
      <c r="G63" s="144"/>
    </row>
    <row r="64" spans="2:12" s="51" customFormat="1" x14ac:dyDescent="0.3">
      <c r="B64" s="162" t="s">
        <v>169</v>
      </c>
      <c r="F64" s="145"/>
      <c r="G64" s="146">
        <v>802757.22</v>
      </c>
    </row>
    <row r="65" spans="2:9" s="51" customFormat="1" x14ac:dyDescent="0.3">
      <c r="B65" s="162" t="s">
        <v>170</v>
      </c>
      <c r="F65" s="141"/>
      <c r="G65" s="147">
        <f>SUM(F66:F68)</f>
        <v>291166.10000000003</v>
      </c>
      <c r="I65" s="51" t="s">
        <v>184</v>
      </c>
    </row>
    <row r="66" spans="2:9" s="51" customFormat="1" x14ac:dyDescent="0.3">
      <c r="B66" s="162" t="s">
        <v>171</v>
      </c>
      <c r="F66" s="141">
        <v>280528.7</v>
      </c>
      <c r="G66" s="147"/>
    </row>
    <row r="67" spans="2:9" s="51" customFormat="1" x14ac:dyDescent="0.3">
      <c r="B67" s="162" t="s">
        <v>172</v>
      </c>
      <c r="F67" s="141">
        <v>0</v>
      </c>
      <c r="G67" s="147"/>
    </row>
    <row r="68" spans="2:9" s="51" customFormat="1" x14ac:dyDescent="0.3">
      <c r="B68" s="162" t="s">
        <v>173</v>
      </c>
      <c r="F68" s="141">
        <v>10637.4</v>
      </c>
      <c r="G68" s="147"/>
    </row>
    <row r="69" spans="2:9" s="51" customFormat="1" x14ac:dyDescent="0.3">
      <c r="B69" s="162" t="s">
        <v>174</v>
      </c>
      <c r="F69" s="141"/>
      <c r="G69" s="147">
        <f>SUM(F70:F72)</f>
        <v>616709.26</v>
      </c>
    </row>
    <row r="70" spans="2:9" s="51" customFormat="1" x14ac:dyDescent="0.3">
      <c r="B70" s="162" t="s">
        <v>171</v>
      </c>
      <c r="F70" s="141">
        <v>363555.35</v>
      </c>
      <c r="G70" s="147"/>
    </row>
    <row r="71" spans="2:9" s="51" customFormat="1" x14ac:dyDescent="0.3">
      <c r="B71" s="162" t="s">
        <v>172</v>
      </c>
      <c r="F71" s="141">
        <v>0</v>
      </c>
      <c r="G71" s="147"/>
    </row>
    <row r="72" spans="2:9" s="51" customFormat="1" x14ac:dyDescent="0.3">
      <c r="B72" s="162" t="s">
        <v>173</v>
      </c>
      <c r="F72" s="141">
        <v>253153.91</v>
      </c>
      <c r="G72" s="147"/>
    </row>
    <row r="73" spans="2:9" s="51" customFormat="1" x14ac:dyDescent="0.3">
      <c r="B73" s="162" t="s">
        <v>175</v>
      </c>
      <c r="F73" s="141"/>
      <c r="G73" s="147">
        <f>SUM(F74:F75)</f>
        <v>0</v>
      </c>
    </row>
    <row r="74" spans="2:9" s="51" customFormat="1" x14ac:dyDescent="0.3">
      <c r="B74" s="162" t="s">
        <v>176</v>
      </c>
      <c r="F74" s="141">
        <v>0</v>
      </c>
      <c r="G74" s="147"/>
    </row>
    <row r="75" spans="2:9" s="51" customFormat="1" x14ac:dyDescent="0.3">
      <c r="B75" s="162" t="s">
        <v>177</v>
      </c>
      <c r="F75" s="141">
        <v>0</v>
      </c>
      <c r="G75" s="147"/>
    </row>
    <row r="76" spans="2:9" s="51" customFormat="1" x14ac:dyDescent="0.3">
      <c r="B76" s="162"/>
      <c r="F76" s="141"/>
      <c r="G76" s="147"/>
    </row>
    <row r="77" spans="2:9" s="51" customFormat="1" x14ac:dyDescent="0.3">
      <c r="B77" s="162" t="s">
        <v>178</v>
      </c>
      <c r="F77" s="141"/>
      <c r="G77" s="147">
        <f>G64+G65-G69+G73</f>
        <v>477214.06000000006</v>
      </c>
    </row>
    <row r="78" spans="2:9" s="51" customFormat="1" x14ac:dyDescent="0.3">
      <c r="B78" s="162"/>
      <c r="F78" s="141"/>
      <c r="G78" s="147"/>
    </row>
    <row r="79" spans="2:9" s="51" customFormat="1" x14ac:dyDescent="0.3">
      <c r="B79" s="163" t="s">
        <v>179</v>
      </c>
      <c r="C79" s="164"/>
      <c r="D79" s="164"/>
      <c r="E79" s="164"/>
      <c r="F79" s="148"/>
      <c r="G79" s="149">
        <v>0</v>
      </c>
    </row>
    <row r="80" spans="2:9" s="51" customFormat="1" x14ac:dyDescent="0.3">
      <c r="B80" s="165" t="s">
        <v>180</v>
      </c>
      <c r="C80" s="166"/>
      <c r="D80" s="166"/>
      <c r="E80" s="166"/>
      <c r="F80" s="150"/>
      <c r="G80" s="151">
        <v>295342.64</v>
      </c>
      <c r="H80" s="75"/>
    </row>
    <row r="81" spans="2:8" s="51" customFormat="1" ht="5.25" customHeight="1" x14ac:dyDescent="0.3">
      <c r="B81" s="162"/>
      <c r="F81" s="141"/>
      <c r="G81" s="147"/>
    </row>
    <row r="82" spans="2:8" s="51" customFormat="1" ht="21.75" thickBot="1" x14ac:dyDescent="0.45">
      <c r="B82" s="167" t="s">
        <v>181</v>
      </c>
      <c r="C82" s="168"/>
      <c r="D82" s="168"/>
      <c r="E82" s="168"/>
      <c r="F82" s="152"/>
      <c r="G82" s="153">
        <f>G77-G79-G80</f>
        <v>181871.42000000004</v>
      </c>
      <c r="H82" s="169"/>
    </row>
    <row r="83" spans="2:8" s="51" customFormat="1" x14ac:dyDescent="0.3"/>
  </sheetData>
  <mergeCells count="2">
    <mergeCell ref="J54:K54"/>
    <mergeCell ref="J55:K55"/>
  </mergeCells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83"/>
  <sheetViews>
    <sheetView showGridLines="0" view="pageLayout" zoomScaleNormal="100" workbookViewId="0">
      <selection activeCell="B3" sqref="B3"/>
    </sheetView>
  </sheetViews>
  <sheetFormatPr defaultColWidth="11.33203125" defaultRowHeight="16.5" x14ac:dyDescent="0.3"/>
  <cols>
    <col min="1" max="1" width="1.88671875" customWidth="1"/>
    <col min="2" max="2" width="10" customWidth="1"/>
    <col min="3" max="3" width="2.33203125" customWidth="1"/>
    <col min="4" max="4" width="40.77734375" customWidth="1"/>
    <col min="5" max="5" width="27.5546875" customWidth="1"/>
    <col min="6" max="6" width="13.33203125" customWidth="1"/>
    <col min="7" max="7" width="14.6640625" customWidth="1"/>
    <col min="8" max="8" width="15.21875" customWidth="1"/>
    <col min="9" max="9" width="13.88671875" customWidth="1"/>
    <col min="10" max="10" width="13.6640625" customWidth="1"/>
    <col min="11" max="11" width="12.88671875" customWidth="1"/>
    <col min="12" max="12" width="13.6640625" customWidth="1"/>
  </cols>
  <sheetData>
    <row r="2" spans="1:12" ht="17.25" thickBot="1" x14ac:dyDescent="0.35"/>
    <row r="3" spans="1:12" s="14" customFormat="1" ht="19.5" thickBot="1" x14ac:dyDescent="0.4">
      <c r="A3" s="176" t="s">
        <v>101</v>
      </c>
      <c r="B3" s="177"/>
      <c r="C3" s="177"/>
      <c r="D3" s="177"/>
      <c r="E3" s="177"/>
      <c r="F3" s="178">
        <f t="shared" ref="F3:L3" si="0">F7</f>
        <v>611394.98</v>
      </c>
      <c r="G3" s="179">
        <f t="shared" si="0"/>
        <v>260427.92</v>
      </c>
      <c r="H3" s="179">
        <f t="shared" si="0"/>
        <v>871822.89999999991</v>
      </c>
      <c r="I3" s="179">
        <f t="shared" si="0"/>
        <v>845485.62999999989</v>
      </c>
      <c r="J3" s="179">
        <f t="shared" si="0"/>
        <v>86573.599999999977</v>
      </c>
      <c r="K3" s="179">
        <f t="shared" si="0"/>
        <v>758912.03</v>
      </c>
      <c r="L3" s="179">
        <f t="shared" si="0"/>
        <v>-26337.270000000011</v>
      </c>
    </row>
    <row r="4" spans="1:12" ht="17.25" thickBot="1" x14ac:dyDescent="0.35"/>
    <row r="5" spans="1:12" s="21" customFormat="1" ht="46.5" customHeight="1" thickBot="1" x14ac:dyDescent="0.35">
      <c r="A5" s="35"/>
      <c r="B5" s="20" t="s">
        <v>62</v>
      </c>
      <c r="C5" s="57"/>
      <c r="D5" s="64" t="s">
        <v>3</v>
      </c>
      <c r="E5" s="58"/>
      <c r="F5" s="60" t="s">
        <v>135</v>
      </c>
      <c r="G5" s="78" t="s">
        <v>120</v>
      </c>
      <c r="H5" s="78" t="s">
        <v>121</v>
      </c>
      <c r="I5" s="95" t="s">
        <v>191</v>
      </c>
      <c r="J5" s="78" t="s">
        <v>122</v>
      </c>
      <c r="K5" s="78" t="s">
        <v>123</v>
      </c>
      <c r="L5" s="78" t="s">
        <v>124</v>
      </c>
    </row>
    <row r="6" spans="1:12" x14ac:dyDescent="0.3">
      <c r="B6" s="22"/>
      <c r="C6" s="23"/>
      <c r="D6" s="4"/>
      <c r="E6" s="4"/>
      <c r="F6" s="24"/>
    </row>
    <row r="7" spans="1:12" ht="17.25" thickBot="1" x14ac:dyDescent="0.35">
      <c r="B7" s="37">
        <v>3</v>
      </c>
      <c r="C7" s="38" t="s">
        <v>84</v>
      </c>
      <c r="D7" s="39"/>
      <c r="E7" s="39"/>
      <c r="F7" s="40">
        <f t="shared" ref="F7:L7" si="1">F9+F8+F16+F20</f>
        <v>611394.98</v>
      </c>
      <c r="G7" s="40">
        <f t="shared" si="1"/>
        <v>260427.92</v>
      </c>
      <c r="H7" s="40">
        <f t="shared" si="1"/>
        <v>871822.89999999991</v>
      </c>
      <c r="I7" s="40">
        <f t="shared" si="1"/>
        <v>845485.62999999989</v>
      </c>
      <c r="J7" s="40">
        <f t="shared" si="1"/>
        <v>86573.599999999977</v>
      </c>
      <c r="K7" s="40">
        <f t="shared" si="1"/>
        <v>758912.03</v>
      </c>
      <c r="L7" s="40">
        <f t="shared" si="1"/>
        <v>-26337.270000000011</v>
      </c>
    </row>
    <row r="8" spans="1:12" s="2" customFormat="1" ht="17.25" thickTop="1" x14ac:dyDescent="0.3">
      <c r="B8" s="63">
        <v>36001</v>
      </c>
      <c r="C8" s="11" t="s">
        <v>4</v>
      </c>
      <c r="D8" s="12"/>
      <c r="E8" s="12"/>
      <c r="F8" s="17">
        <v>150</v>
      </c>
      <c r="G8" s="17">
        <v>0</v>
      </c>
      <c r="H8" s="17">
        <f>F8+G8</f>
        <v>150</v>
      </c>
      <c r="I8" s="99">
        <v>0</v>
      </c>
      <c r="J8" s="100">
        <f>I8-K8</f>
        <v>0</v>
      </c>
      <c r="K8" s="99">
        <v>0</v>
      </c>
      <c r="L8" s="100">
        <f>I8-H8</f>
        <v>-150</v>
      </c>
    </row>
    <row r="9" spans="1:12" x14ac:dyDescent="0.3">
      <c r="B9" s="61">
        <v>39900</v>
      </c>
      <c r="C9" s="41" t="s">
        <v>86</v>
      </c>
      <c r="D9" s="42"/>
      <c r="E9" s="42"/>
      <c r="F9" s="43">
        <f t="shared" ref="F9:L9" si="2">SUM(F10:F15)</f>
        <v>452436.26</v>
      </c>
      <c r="G9" s="43">
        <f t="shared" si="2"/>
        <v>251650.33000000002</v>
      </c>
      <c r="H9" s="43">
        <f t="shared" si="2"/>
        <v>704086.59</v>
      </c>
      <c r="I9" s="43">
        <f t="shared" si="2"/>
        <v>694923.41999999993</v>
      </c>
      <c r="J9" s="43">
        <f t="shared" si="2"/>
        <v>58121.419999999991</v>
      </c>
      <c r="K9" s="43">
        <f t="shared" si="2"/>
        <v>636802</v>
      </c>
      <c r="L9" s="43">
        <f t="shared" si="2"/>
        <v>-9163.1700000000128</v>
      </c>
    </row>
    <row r="10" spans="1:12" x14ac:dyDescent="0.3">
      <c r="B10" s="62"/>
      <c r="C10" s="2"/>
      <c r="D10" s="55" t="s">
        <v>71</v>
      </c>
      <c r="E10" s="56" t="s">
        <v>48</v>
      </c>
      <c r="F10" s="85">
        <v>426070</v>
      </c>
      <c r="G10" s="8">
        <v>100305.38</v>
      </c>
      <c r="H10" s="8">
        <f>F10+G10</f>
        <v>526375.38</v>
      </c>
      <c r="I10" s="8">
        <f>55145.18+193008.1+85214+149985.4+43022.7</f>
        <v>526375.38</v>
      </c>
      <c r="J10" s="8">
        <f>I10-K10</f>
        <v>0</v>
      </c>
      <c r="K10" s="8">
        <f>55145.18+193008.1+85214+149985.4+43022.7</f>
        <v>526375.38</v>
      </c>
      <c r="L10" s="8">
        <f>I10-H10</f>
        <v>0</v>
      </c>
    </row>
    <row r="11" spans="1:12" x14ac:dyDescent="0.3">
      <c r="D11" s="88" t="s">
        <v>117</v>
      </c>
      <c r="E11" s="56" t="s">
        <v>109</v>
      </c>
      <c r="F11" s="15">
        <v>10890</v>
      </c>
      <c r="G11" s="8">
        <v>0</v>
      </c>
      <c r="H11" s="8">
        <f>F11+G11</f>
        <v>10890</v>
      </c>
      <c r="I11" s="8">
        <v>0</v>
      </c>
      <c r="J11" s="8">
        <f>I11-K11</f>
        <v>0</v>
      </c>
      <c r="K11" s="8">
        <v>0</v>
      </c>
      <c r="L11" s="8">
        <f>I11-H11</f>
        <v>-10890</v>
      </c>
    </row>
    <row r="12" spans="1:12" x14ac:dyDescent="0.3">
      <c r="D12" s="88" t="s">
        <v>118</v>
      </c>
      <c r="E12" s="56" t="s">
        <v>119</v>
      </c>
      <c r="F12" s="15">
        <v>15476.26</v>
      </c>
      <c r="G12" s="8">
        <v>0</v>
      </c>
      <c r="H12" s="8">
        <f t="shared" ref="H12" si="3">F12+G12</f>
        <v>15476.26</v>
      </c>
      <c r="I12" s="8">
        <v>15476.26</v>
      </c>
      <c r="J12" s="8">
        <f>I12-K12</f>
        <v>0</v>
      </c>
      <c r="K12" s="8">
        <v>15476.26</v>
      </c>
      <c r="L12" s="8">
        <f t="shared" ref="L12" si="4">I12-H12</f>
        <v>0</v>
      </c>
    </row>
    <row r="13" spans="1:12" x14ac:dyDescent="0.3">
      <c r="D13" s="88" t="s">
        <v>187</v>
      </c>
      <c r="E13" s="56" t="s">
        <v>103</v>
      </c>
      <c r="F13" s="15">
        <v>0</v>
      </c>
      <c r="G13" s="8">
        <v>0</v>
      </c>
      <c r="H13" s="8">
        <f>F13+G13</f>
        <v>0</v>
      </c>
      <c r="I13" s="8">
        <v>0</v>
      </c>
      <c r="J13" s="8">
        <f t="shared" ref="J13" si="5">I13-K13</f>
        <v>0</v>
      </c>
      <c r="K13" s="8">
        <v>0</v>
      </c>
      <c r="L13" s="8">
        <f>I13-H13</f>
        <v>0</v>
      </c>
    </row>
    <row r="14" spans="1:12" x14ac:dyDescent="0.3">
      <c r="D14" s="88" t="s">
        <v>188</v>
      </c>
      <c r="E14" s="56" t="s">
        <v>113</v>
      </c>
      <c r="F14" s="15">
        <v>0</v>
      </c>
      <c r="G14" s="8">
        <v>7467.1</v>
      </c>
      <c r="H14" s="8">
        <f>F14+G14</f>
        <v>7467.1</v>
      </c>
      <c r="I14" s="8">
        <v>7467.1</v>
      </c>
      <c r="J14" s="8">
        <f>I14-K14</f>
        <v>7467.1</v>
      </c>
      <c r="K14" s="8">
        <v>0</v>
      </c>
      <c r="L14" s="8">
        <f>I14-H14</f>
        <v>0</v>
      </c>
    </row>
    <row r="15" spans="1:12" x14ac:dyDescent="0.3">
      <c r="D15" s="56" t="s">
        <v>77</v>
      </c>
      <c r="E15" s="56" t="s">
        <v>78</v>
      </c>
      <c r="F15" s="15">
        <v>0</v>
      </c>
      <c r="G15" s="8">
        <v>143877.85</v>
      </c>
      <c r="H15" s="8">
        <f>F15+G15</f>
        <v>143877.85</v>
      </c>
      <c r="I15" s="8">
        <v>145604.68</v>
      </c>
      <c r="J15" s="8">
        <f>I15-K15</f>
        <v>50654.319999999992</v>
      </c>
      <c r="K15" s="8">
        <v>94950.36</v>
      </c>
      <c r="L15" s="8">
        <f>I15-H15</f>
        <v>1726.8299999999872</v>
      </c>
    </row>
    <row r="16" spans="1:12" x14ac:dyDescent="0.3">
      <c r="B16" s="63">
        <v>39901</v>
      </c>
      <c r="C16" s="11" t="s">
        <v>86</v>
      </c>
      <c r="D16" s="12"/>
      <c r="E16" s="12"/>
      <c r="F16" s="106">
        <f>SUM(F17:F19)</f>
        <v>138808.72</v>
      </c>
      <c r="G16" s="106">
        <f t="shared" ref="G16:L16" si="6">SUM(G17:G19)</f>
        <v>7467.1</v>
      </c>
      <c r="H16" s="106">
        <f t="shared" si="6"/>
        <v>146275.82</v>
      </c>
      <c r="I16" s="106">
        <f t="shared" si="6"/>
        <v>149251.72</v>
      </c>
      <c r="J16" s="106">
        <f t="shared" si="6"/>
        <v>28452.179999999993</v>
      </c>
      <c r="K16" s="106">
        <f t="shared" si="6"/>
        <v>120799.54000000001</v>
      </c>
      <c r="L16" s="106">
        <f t="shared" si="6"/>
        <v>2975.9000000000015</v>
      </c>
    </row>
    <row r="17" spans="2:12" x14ac:dyDescent="0.3">
      <c r="D17" s="88" t="s">
        <v>189</v>
      </c>
      <c r="E17" s="56" t="s">
        <v>113</v>
      </c>
      <c r="F17" s="15">
        <v>113808.72</v>
      </c>
      <c r="G17" s="8">
        <v>0</v>
      </c>
      <c r="H17" s="8">
        <v>113808.72</v>
      </c>
      <c r="I17" s="8">
        <v>113808.72</v>
      </c>
      <c r="J17" s="8">
        <f t="shared" ref="J17" si="7">I17-K17</f>
        <v>28452.179999999993</v>
      </c>
      <c r="K17" s="8">
        <v>85356.540000000008</v>
      </c>
      <c r="L17" s="8">
        <f>I17-H17</f>
        <v>0</v>
      </c>
    </row>
    <row r="18" spans="2:12" x14ac:dyDescent="0.3">
      <c r="D18" s="88" t="s">
        <v>190</v>
      </c>
      <c r="E18" s="56" t="s">
        <v>113</v>
      </c>
      <c r="F18" s="15">
        <v>25000</v>
      </c>
      <c r="G18" s="8">
        <v>0</v>
      </c>
      <c r="H18" s="8">
        <v>25000</v>
      </c>
      <c r="I18" s="8">
        <v>27975.9</v>
      </c>
      <c r="J18" s="8">
        <f>I18-K18</f>
        <v>0</v>
      </c>
      <c r="K18" s="8">
        <v>27975.9</v>
      </c>
      <c r="L18" s="8">
        <f>I18-H18</f>
        <v>2975.9000000000015</v>
      </c>
    </row>
    <row r="19" spans="2:12" x14ac:dyDescent="0.3">
      <c r="D19" s="56" t="s">
        <v>188</v>
      </c>
      <c r="E19" s="56" t="s">
        <v>113</v>
      </c>
      <c r="F19" s="15">
        <v>0</v>
      </c>
      <c r="G19" s="8">
        <v>7467.1</v>
      </c>
      <c r="H19" s="8">
        <v>7467.1</v>
      </c>
      <c r="I19" s="8">
        <v>7467.1</v>
      </c>
      <c r="J19" s="8">
        <f>I19-K19</f>
        <v>0</v>
      </c>
      <c r="K19" s="8">
        <v>7467.1</v>
      </c>
      <c r="L19" s="8">
        <f>I19-H19</f>
        <v>0</v>
      </c>
    </row>
    <row r="20" spans="2:12" x14ac:dyDescent="0.3">
      <c r="B20" s="63">
        <v>39902</v>
      </c>
      <c r="C20" s="11" t="s">
        <v>86</v>
      </c>
      <c r="D20" s="12"/>
      <c r="E20" s="12"/>
      <c r="F20" s="106">
        <f t="shared" ref="F20:K20" si="8">SUM(F21:F22)</f>
        <v>20000</v>
      </c>
      <c r="G20" s="106">
        <f t="shared" si="8"/>
        <v>1310.49</v>
      </c>
      <c r="H20" s="106">
        <f t="shared" si="8"/>
        <v>21310.49</v>
      </c>
      <c r="I20" s="106">
        <f t="shared" si="8"/>
        <v>1310.49</v>
      </c>
      <c r="J20" s="106">
        <f t="shared" si="8"/>
        <v>0</v>
      </c>
      <c r="K20" s="106">
        <f t="shared" si="8"/>
        <v>1310.49</v>
      </c>
      <c r="L20" s="106">
        <f>SUM(L21:L22)</f>
        <v>-20000</v>
      </c>
    </row>
    <row r="21" spans="2:12" x14ac:dyDescent="0.3">
      <c r="D21" s="56" t="s">
        <v>192</v>
      </c>
      <c r="E21" s="56" t="s">
        <v>103</v>
      </c>
      <c r="F21" s="8">
        <v>20000</v>
      </c>
      <c r="G21" s="8">
        <v>0</v>
      </c>
      <c r="H21" s="8">
        <f t="shared" ref="H21:H22" si="9">F21+G21</f>
        <v>20000</v>
      </c>
      <c r="I21" s="8">
        <v>0</v>
      </c>
      <c r="J21" s="8">
        <f>I21-K21</f>
        <v>0</v>
      </c>
      <c r="K21" s="8">
        <v>0</v>
      </c>
      <c r="L21" s="8">
        <f>I21-H21</f>
        <v>-20000</v>
      </c>
    </row>
    <row r="22" spans="2:12" x14ac:dyDescent="0.3">
      <c r="D22" s="5" t="s">
        <v>193</v>
      </c>
      <c r="E22" s="5"/>
      <c r="F22" s="15">
        <v>0</v>
      </c>
      <c r="G22" s="5">
        <v>1310.49</v>
      </c>
      <c r="H22" s="8">
        <f t="shared" si="9"/>
        <v>1310.49</v>
      </c>
      <c r="I22" s="5">
        <v>1310.49</v>
      </c>
      <c r="J22" s="8">
        <f>I22-K22</f>
        <v>0</v>
      </c>
      <c r="K22" s="5">
        <v>1310.49</v>
      </c>
      <c r="L22" s="8">
        <f>I22-H22</f>
        <v>0</v>
      </c>
    </row>
    <row r="35" ht="9" customHeight="1" x14ac:dyDescent="0.3"/>
    <row r="59" spans="2:15" s="51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s="51" customFormat="1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 s="51" customFormat="1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 s="51" customFormat="1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 s="51" customFormat="1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s="51" customFormat="1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s="51" customFormat="1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s="51" customFormat="1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s="51" customFormat="1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s="51" customFormat="1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s="51" customFormat="1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s="51" customFormat="1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s="51" customFormat="1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s="51" customFormat="1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s="51" customFormat="1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s="51" customFormat="1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s="51" customFormat="1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s="51" customFormat="1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s="51" customFormat="1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s="51" customFormat="1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s="51" customFormat="1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s="51" customFormat="1" x14ac:dyDescent="0.3"/>
    <row r="81" s="51" customFormat="1" x14ac:dyDescent="0.3"/>
    <row r="82" s="51" customFormat="1" x14ac:dyDescent="0.3"/>
    <row r="83" s="51" customFormat="1" x14ac:dyDescent="0.3"/>
  </sheetData>
  <printOptions horizontalCentered="1"/>
  <pageMargins left="0" right="0" top="0.39370078740157483" bottom="0.39370078740157483" header="0.31496062992125984" footer="0.15748031496062992"/>
  <pageSetup paperSize="9" scale="71" fitToHeight="0" orientation="landscape" r:id="rId1"/>
  <headerFooter>
    <oddFooter>&amp;CLiquidació pressupost 2023 IERMB _ 31/12/2023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83"/>
  <sheetViews>
    <sheetView showGridLines="0" view="pageLayout" zoomScaleNormal="100" workbookViewId="0">
      <selection activeCell="B3" sqref="B3"/>
    </sheetView>
  </sheetViews>
  <sheetFormatPr defaultColWidth="11.33203125" defaultRowHeight="16.5" x14ac:dyDescent="0.3"/>
  <cols>
    <col min="1" max="1" width="2.21875" customWidth="1"/>
    <col min="2" max="2" width="9.5546875" customWidth="1"/>
    <col min="3" max="3" width="7.33203125" customWidth="1"/>
    <col min="4" max="4" width="38.77734375" customWidth="1"/>
    <col min="5" max="5" width="6.5546875" customWidth="1"/>
    <col min="6" max="6" width="16.6640625" customWidth="1"/>
    <col min="7" max="7" width="12.88671875" customWidth="1"/>
    <col min="8" max="9" width="15.21875" customWidth="1"/>
    <col min="10" max="10" width="12.88671875" customWidth="1"/>
    <col min="11" max="11" width="15.6640625" customWidth="1"/>
    <col min="12" max="12" width="13.77734375" customWidth="1"/>
  </cols>
  <sheetData>
    <row r="2" spans="1:12" ht="15.75" customHeight="1" thickBot="1" x14ac:dyDescent="0.35"/>
    <row r="3" spans="1:12" s="14" customFormat="1" ht="19.5" thickBot="1" x14ac:dyDescent="0.4">
      <c r="A3" s="176" t="s">
        <v>100</v>
      </c>
      <c r="B3" s="177"/>
      <c r="C3" s="177"/>
      <c r="D3" s="177"/>
      <c r="E3" s="177"/>
      <c r="F3" s="178">
        <f>F7</f>
        <v>3006944.16</v>
      </c>
      <c r="G3" s="179">
        <f t="shared" ref="G3:L3" si="0">G7</f>
        <v>682646.27000000014</v>
      </c>
      <c r="H3" s="179">
        <f t="shared" si="0"/>
        <v>3689590.43</v>
      </c>
      <c r="I3" s="179">
        <f t="shared" si="0"/>
        <v>3613021.23</v>
      </c>
      <c r="J3" s="179">
        <f t="shared" si="0"/>
        <v>193955.10000000006</v>
      </c>
      <c r="K3" s="179">
        <f t="shared" si="0"/>
        <v>3419066.1300000004</v>
      </c>
      <c r="L3" s="179">
        <f t="shared" si="0"/>
        <v>-76569.199999999895</v>
      </c>
    </row>
    <row r="4" spans="1:12" ht="17.25" thickBot="1" x14ac:dyDescent="0.35"/>
    <row r="5" spans="1:12" s="21" customFormat="1" ht="50.25" thickBot="1" x14ac:dyDescent="0.35">
      <c r="A5" s="35"/>
      <c r="B5" s="20" t="s">
        <v>62</v>
      </c>
      <c r="C5" s="57"/>
      <c r="D5" s="64" t="s">
        <v>3</v>
      </c>
      <c r="E5" s="59"/>
      <c r="F5" s="60" t="s">
        <v>135</v>
      </c>
      <c r="G5" s="78" t="s">
        <v>120</v>
      </c>
      <c r="H5" s="78" t="s">
        <v>121</v>
      </c>
      <c r="I5" s="95" t="s">
        <v>191</v>
      </c>
      <c r="J5" s="78" t="s">
        <v>122</v>
      </c>
      <c r="K5" s="78" t="s">
        <v>123</v>
      </c>
      <c r="L5" s="78" t="s">
        <v>124</v>
      </c>
    </row>
    <row r="7" spans="1:12" ht="17.25" thickBot="1" x14ac:dyDescent="0.35">
      <c r="B7" s="37">
        <v>4</v>
      </c>
      <c r="C7" s="38" t="s">
        <v>55</v>
      </c>
      <c r="D7" s="39"/>
      <c r="E7" s="39"/>
      <c r="F7" s="40">
        <f>F8+F10+F12+F18+F23+F27+F16+F31+F33</f>
        <v>3006944.16</v>
      </c>
      <c r="G7" s="40">
        <f t="shared" ref="G7:L7" si="1">G8+G10+G12+G18+G23+G27+G16+G31+G33</f>
        <v>682646.27000000014</v>
      </c>
      <c r="H7" s="40">
        <f t="shared" si="1"/>
        <v>3689590.43</v>
      </c>
      <c r="I7" s="40">
        <f t="shared" si="1"/>
        <v>3613021.23</v>
      </c>
      <c r="J7" s="40">
        <f t="shared" si="1"/>
        <v>193955.10000000006</v>
      </c>
      <c r="K7" s="40">
        <f t="shared" si="1"/>
        <v>3419066.1300000004</v>
      </c>
      <c r="L7" s="40">
        <f t="shared" si="1"/>
        <v>-76569.199999999895</v>
      </c>
    </row>
    <row r="8" spans="1:12" ht="17.25" thickTop="1" x14ac:dyDescent="0.3">
      <c r="B8" s="65">
        <v>42190</v>
      </c>
      <c r="C8" s="11" t="s">
        <v>129</v>
      </c>
      <c r="D8" s="12"/>
      <c r="E8" s="12"/>
      <c r="F8" s="17">
        <f>SUM(F9)</f>
        <v>0</v>
      </c>
      <c r="G8" s="17">
        <f t="shared" ref="G8:L16" si="2">SUM(G9)</f>
        <v>57643.5</v>
      </c>
      <c r="H8" s="17">
        <f>SUM(H9)</f>
        <v>57643.5</v>
      </c>
      <c r="I8" s="17">
        <f t="shared" si="2"/>
        <v>57643.5</v>
      </c>
      <c r="J8" s="17">
        <f t="shared" si="2"/>
        <v>0</v>
      </c>
      <c r="K8" s="17">
        <f t="shared" si="2"/>
        <v>57643.5</v>
      </c>
      <c r="L8" s="17">
        <f t="shared" si="2"/>
        <v>0</v>
      </c>
    </row>
    <row r="9" spans="1:12" s="101" customFormat="1" x14ac:dyDescent="0.3">
      <c r="B9" s="66"/>
      <c r="C9"/>
      <c r="D9" s="9" t="s">
        <v>182</v>
      </c>
      <c r="E9" s="9"/>
      <c r="F9" s="84">
        <v>0</v>
      </c>
      <c r="G9" s="84">
        <f>45643.5+12000</f>
        <v>57643.5</v>
      </c>
      <c r="H9" s="84">
        <f>F9+G9</f>
        <v>57643.5</v>
      </c>
      <c r="I9" s="84">
        <f>45643.5+12000</f>
        <v>57643.5</v>
      </c>
      <c r="J9" s="85">
        <f>I9-K9</f>
        <v>0</v>
      </c>
      <c r="K9" s="84">
        <f>45643.5+12000</f>
        <v>57643.5</v>
      </c>
      <c r="L9" s="84">
        <f>I9-H9</f>
        <v>0</v>
      </c>
    </row>
    <row r="10" spans="1:12" x14ac:dyDescent="0.3">
      <c r="B10" s="65">
        <v>45080</v>
      </c>
      <c r="C10" s="11" t="s">
        <v>5</v>
      </c>
      <c r="D10" s="12"/>
      <c r="E10" s="12"/>
      <c r="F10" s="17">
        <f t="shared" ref="F10:L10" si="3">SUM(F11:F11)</f>
        <v>40000</v>
      </c>
      <c r="G10" s="17">
        <f t="shared" si="3"/>
        <v>0</v>
      </c>
      <c r="H10" s="17">
        <f t="shared" si="3"/>
        <v>40000</v>
      </c>
      <c r="I10" s="17">
        <f t="shared" si="3"/>
        <v>40000</v>
      </c>
      <c r="J10" s="17">
        <f t="shared" si="3"/>
        <v>40000</v>
      </c>
      <c r="K10" s="17">
        <f t="shared" si="3"/>
        <v>0</v>
      </c>
      <c r="L10" s="17">
        <f t="shared" si="3"/>
        <v>0</v>
      </c>
    </row>
    <row r="11" spans="1:12" s="101" customFormat="1" x14ac:dyDescent="0.3">
      <c r="B11" s="66"/>
      <c r="C11"/>
      <c r="D11" s="9" t="s">
        <v>81</v>
      </c>
      <c r="E11" s="9"/>
      <c r="F11" s="84">
        <v>40000</v>
      </c>
      <c r="G11" s="84">
        <v>0</v>
      </c>
      <c r="H11" s="84">
        <f>F11+G11</f>
        <v>40000</v>
      </c>
      <c r="I11" s="84">
        <v>40000</v>
      </c>
      <c r="J11" s="85">
        <f>I11-K11</f>
        <v>40000</v>
      </c>
      <c r="K11" s="84">
        <v>0</v>
      </c>
      <c r="L11" s="84">
        <f>I11-H11</f>
        <v>0</v>
      </c>
    </row>
    <row r="12" spans="1:12" x14ac:dyDescent="0.3">
      <c r="B12" s="65">
        <v>45100</v>
      </c>
      <c r="C12" s="11" t="s">
        <v>194</v>
      </c>
      <c r="D12" s="12"/>
      <c r="E12" s="12"/>
      <c r="F12" s="17">
        <f>SUM(F13:F15)</f>
        <v>113808.72</v>
      </c>
      <c r="G12" s="17">
        <f t="shared" ref="G12:L12" si="4">SUM(G13:G15)</f>
        <v>0</v>
      </c>
      <c r="H12" s="17">
        <f t="shared" si="4"/>
        <v>113808.72</v>
      </c>
      <c r="I12" s="17">
        <f t="shared" si="4"/>
        <v>116045.15</v>
      </c>
      <c r="J12" s="17">
        <f t="shared" si="4"/>
        <v>0</v>
      </c>
      <c r="K12" s="17">
        <f t="shared" si="4"/>
        <v>116045.15</v>
      </c>
      <c r="L12" s="17">
        <f t="shared" si="4"/>
        <v>2236.4299999999998</v>
      </c>
    </row>
    <row r="13" spans="1:12" x14ac:dyDescent="0.3">
      <c r="B13" s="108"/>
      <c r="D13" s="55" t="s">
        <v>195</v>
      </c>
      <c r="E13" s="55"/>
      <c r="F13" s="102">
        <v>0</v>
      </c>
      <c r="G13" s="102">
        <v>0</v>
      </c>
      <c r="H13" s="86">
        <f>F13+G13</f>
        <v>0</v>
      </c>
      <c r="I13" s="102">
        <v>2236.4299999999998</v>
      </c>
      <c r="J13" s="102">
        <f>I13-K13</f>
        <v>0</v>
      </c>
      <c r="K13" s="102">
        <v>2236.4299999999998</v>
      </c>
      <c r="L13" s="102">
        <f>I13-H13</f>
        <v>2236.4299999999998</v>
      </c>
    </row>
    <row r="14" spans="1:12" x14ac:dyDescent="0.3">
      <c r="B14" s="108"/>
      <c r="D14" s="55" t="s">
        <v>198</v>
      </c>
      <c r="E14" s="55"/>
      <c r="F14" s="8">
        <v>56904.36</v>
      </c>
      <c r="G14" s="8">
        <v>0</v>
      </c>
      <c r="H14" s="8">
        <f>F14+G14</f>
        <v>56904.36</v>
      </c>
      <c r="I14" s="8">
        <v>56904.36</v>
      </c>
      <c r="J14" s="8">
        <f>I14-K14</f>
        <v>0</v>
      </c>
      <c r="K14" s="8">
        <v>56904.36</v>
      </c>
      <c r="L14" s="8">
        <f>I14-H14</f>
        <v>0</v>
      </c>
    </row>
    <row r="15" spans="1:12" x14ac:dyDescent="0.3">
      <c r="B15" s="66"/>
      <c r="D15" s="109" t="s">
        <v>199</v>
      </c>
      <c r="E15" s="109"/>
      <c r="F15" s="8">
        <v>56904.36</v>
      </c>
      <c r="G15" s="8">
        <v>0</v>
      </c>
      <c r="H15" s="8">
        <f>F15+G15</f>
        <v>56904.36</v>
      </c>
      <c r="I15" s="85">
        <f>14226.09+14226.09+14226.09+14226.09</f>
        <v>56904.36</v>
      </c>
      <c r="J15" s="85">
        <f>I15-K15</f>
        <v>0</v>
      </c>
      <c r="K15" s="85">
        <f>14226.09+14226.09+14226.09+14226.09</f>
        <v>56904.36</v>
      </c>
      <c r="L15" s="85">
        <f>I15-H15</f>
        <v>0</v>
      </c>
    </row>
    <row r="16" spans="1:12" x14ac:dyDescent="0.3">
      <c r="B16" s="63">
        <v>45300</v>
      </c>
      <c r="C16" s="13" t="s">
        <v>7</v>
      </c>
      <c r="D16" s="12"/>
      <c r="E16" s="12"/>
      <c r="F16" s="17">
        <f>SUM(F17:F17)</f>
        <v>21423</v>
      </c>
      <c r="G16" s="17">
        <f t="shared" si="2"/>
        <v>0</v>
      </c>
      <c r="H16" s="17">
        <f t="shared" si="2"/>
        <v>21423</v>
      </c>
      <c r="I16" s="17">
        <f t="shared" si="2"/>
        <v>21423</v>
      </c>
      <c r="J16" s="17">
        <f t="shared" si="2"/>
        <v>0</v>
      </c>
      <c r="K16" s="17">
        <f t="shared" si="2"/>
        <v>21423</v>
      </c>
      <c r="L16" s="17">
        <f t="shared" si="2"/>
        <v>0</v>
      </c>
    </row>
    <row r="17" spans="2:14" x14ac:dyDescent="0.3">
      <c r="B17" s="67"/>
      <c r="C17" s="5"/>
      <c r="D17" s="10" t="s">
        <v>50</v>
      </c>
      <c r="E17" s="10"/>
      <c r="F17" s="85">
        <v>21423</v>
      </c>
      <c r="G17" s="85">
        <v>0</v>
      </c>
      <c r="H17" s="85">
        <f>F17+G17</f>
        <v>21423</v>
      </c>
      <c r="I17" s="85">
        <v>21423</v>
      </c>
      <c r="J17" s="85">
        <f>I17-K17</f>
        <v>0</v>
      </c>
      <c r="K17" s="85">
        <v>21423</v>
      </c>
      <c r="L17" s="85">
        <f>I17-H17</f>
        <v>0</v>
      </c>
    </row>
    <row r="18" spans="2:14" x14ac:dyDescent="0.3">
      <c r="B18" s="63">
        <v>46101</v>
      </c>
      <c r="C18" s="13" t="s">
        <v>0</v>
      </c>
      <c r="D18" s="12"/>
      <c r="E18" s="12"/>
      <c r="F18" s="17">
        <f t="shared" ref="F18:L18" si="5">SUM(F19:F22)</f>
        <v>233808.72</v>
      </c>
      <c r="G18" s="17">
        <f t="shared" si="5"/>
        <v>0</v>
      </c>
      <c r="H18" s="17">
        <f t="shared" si="5"/>
        <v>233808.72</v>
      </c>
      <c r="I18" s="17">
        <f t="shared" si="5"/>
        <v>217630.21000000002</v>
      </c>
      <c r="J18" s="17">
        <f t="shared" si="5"/>
        <v>0</v>
      </c>
      <c r="K18" s="17">
        <f t="shared" si="5"/>
        <v>217630.21000000002</v>
      </c>
      <c r="L18" s="17">
        <f t="shared" si="5"/>
        <v>-16178.509999999995</v>
      </c>
    </row>
    <row r="19" spans="2:14" x14ac:dyDescent="0.3">
      <c r="B19" s="67"/>
      <c r="C19" s="1"/>
      <c r="D19" s="9" t="s">
        <v>81</v>
      </c>
      <c r="E19" s="56"/>
      <c r="F19" s="87">
        <v>40000</v>
      </c>
      <c r="G19" s="87">
        <v>0</v>
      </c>
      <c r="H19" s="87">
        <f>F19+G19</f>
        <v>40000</v>
      </c>
      <c r="I19" s="87">
        <v>40000</v>
      </c>
      <c r="J19" s="102">
        <f>I19-K19</f>
        <v>0</v>
      </c>
      <c r="K19" s="87">
        <v>40000</v>
      </c>
      <c r="L19" s="8">
        <f>I19-H19</f>
        <v>0</v>
      </c>
    </row>
    <row r="20" spans="2:14" x14ac:dyDescent="0.3">
      <c r="B20" s="67"/>
      <c r="C20" s="1"/>
      <c r="D20" s="55" t="s">
        <v>132</v>
      </c>
      <c r="E20" s="56"/>
      <c r="F20" s="85">
        <v>80000</v>
      </c>
      <c r="G20" s="105">
        <v>0</v>
      </c>
      <c r="H20" s="85">
        <f t="shared" ref="H20" si="6">F20+G20</f>
        <v>80000</v>
      </c>
      <c r="I20" s="85">
        <f>40000+20000+20000</f>
        <v>80000</v>
      </c>
      <c r="J20" s="8">
        <f>I20-K20</f>
        <v>0</v>
      </c>
      <c r="K20" s="85">
        <f>40000+20000+20000</f>
        <v>80000</v>
      </c>
      <c r="L20" s="8">
        <f t="shared" ref="L20" si="7">I20-H20</f>
        <v>0</v>
      </c>
    </row>
    <row r="21" spans="2:14" x14ac:dyDescent="0.3">
      <c r="B21" s="67"/>
      <c r="C21" s="1"/>
      <c r="D21" s="55" t="s">
        <v>196</v>
      </c>
      <c r="E21" s="56"/>
      <c r="F21" s="84">
        <v>113808.72</v>
      </c>
      <c r="G21" s="107">
        <v>0</v>
      </c>
      <c r="H21" s="84">
        <f>F21+G21</f>
        <v>113808.72</v>
      </c>
      <c r="I21" s="84">
        <v>0</v>
      </c>
      <c r="J21" s="8">
        <f>I21-K21</f>
        <v>0</v>
      </c>
      <c r="K21" s="84">
        <v>0</v>
      </c>
      <c r="L21" s="8">
        <f>I21-H21</f>
        <v>-113808.72</v>
      </c>
    </row>
    <row r="22" spans="2:14" x14ac:dyDescent="0.3">
      <c r="B22" s="67"/>
      <c r="C22" s="1"/>
      <c r="D22" s="55" t="s">
        <v>133</v>
      </c>
      <c r="E22" s="55"/>
      <c r="F22" s="104">
        <v>0</v>
      </c>
      <c r="G22" s="104">
        <v>0</v>
      </c>
      <c r="H22" s="104">
        <v>0</v>
      </c>
      <c r="I22" s="104">
        <v>97630.21</v>
      </c>
      <c r="J22" s="8">
        <f>I22-K22</f>
        <v>0</v>
      </c>
      <c r="K22" s="104">
        <v>97630.21</v>
      </c>
      <c r="L22" s="8">
        <f>I22-H22</f>
        <v>97630.21</v>
      </c>
    </row>
    <row r="23" spans="2:14" x14ac:dyDescent="0.3">
      <c r="B23" s="63">
        <v>46201</v>
      </c>
      <c r="C23" s="13" t="s">
        <v>6</v>
      </c>
      <c r="D23" s="12"/>
      <c r="E23" s="12"/>
      <c r="F23" s="17">
        <f t="shared" ref="F23:L23" si="8">SUM(F24:F26)</f>
        <v>984095</v>
      </c>
      <c r="G23" s="106">
        <f t="shared" si="8"/>
        <v>169859.19</v>
      </c>
      <c r="H23" s="17">
        <f t="shared" si="8"/>
        <v>1153954.19</v>
      </c>
      <c r="I23" s="17">
        <f t="shared" si="8"/>
        <v>1150197.05</v>
      </c>
      <c r="J23" s="17">
        <f t="shared" si="8"/>
        <v>98524.940000000061</v>
      </c>
      <c r="K23" s="17">
        <f t="shared" si="8"/>
        <v>1051672.1099999999</v>
      </c>
      <c r="L23" s="17">
        <f t="shared" si="8"/>
        <v>-3757.1399999998976</v>
      </c>
    </row>
    <row r="24" spans="2:14" x14ac:dyDescent="0.3">
      <c r="B24" s="67"/>
      <c r="C24" s="7"/>
      <c r="D24" s="10" t="s">
        <v>49</v>
      </c>
      <c r="E24" s="10"/>
      <c r="F24" s="85">
        <v>73970</v>
      </c>
      <c r="G24" s="105">
        <v>0</v>
      </c>
      <c r="H24" s="85">
        <f>F24+G24</f>
        <v>73970</v>
      </c>
      <c r="I24" s="85">
        <v>73970</v>
      </c>
      <c r="J24" s="85">
        <f t="shared" ref="J24:J26" si="9">I24-K24</f>
        <v>0</v>
      </c>
      <c r="K24" s="85">
        <v>73970</v>
      </c>
      <c r="L24" s="85">
        <f>I24-H24</f>
        <v>0</v>
      </c>
    </row>
    <row r="25" spans="2:14" x14ac:dyDescent="0.3">
      <c r="B25" s="67"/>
      <c r="C25" s="7"/>
      <c r="D25" s="55" t="s">
        <v>104</v>
      </c>
      <c r="E25" s="56"/>
      <c r="F25" s="85">
        <f>600259.6+303740.4</f>
        <v>904000</v>
      </c>
      <c r="G25" s="85">
        <f>118414.72+51444.47</f>
        <v>169859.19</v>
      </c>
      <c r="H25" s="85">
        <f>F25+G25</f>
        <v>1073859.19</v>
      </c>
      <c r="I25" s="85">
        <f>699441.67+364535.38</f>
        <v>1063977.05</v>
      </c>
      <c r="J25" s="85">
        <f t="shared" si="9"/>
        <v>86274.940000000061</v>
      </c>
      <c r="K25" s="85">
        <f>633166.73+344535.38</f>
        <v>977702.11</v>
      </c>
      <c r="L25" s="85">
        <f t="shared" ref="L25:L26" si="10">I25-H25</f>
        <v>-9882.1399999998976</v>
      </c>
    </row>
    <row r="26" spans="2:14" x14ac:dyDescent="0.3">
      <c r="B26" s="67"/>
      <c r="C26" s="7"/>
      <c r="D26" s="81" t="s">
        <v>77</v>
      </c>
      <c r="E26" s="9"/>
      <c r="F26" s="84">
        <v>6125</v>
      </c>
      <c r="G26" s="107">
        <v>0</v>
      </c>
      <c r="H26" s="85">
        <f t="shared" ref="H26" si="11">F26+G26</f>
        <v>6125</v>
      </c>
      <c r="I26" s="84">
        <f>6125+6125</f>
        <v>12250</v>
      </c>
      <c r="J26" s="84">
        <f t="shared" si="9"/>
        <v>12250</v>
      </c>
      <c r="K26" s="84">
        <v>0</v>
      </c>
      <c r="L26" s="85">
        <f t="shared" si="10"/>
        <v>6125</v>
      </c>
    </row>
    <row r="27" spans="2:14" x14ac:dyDescent="0.3">
      <c r="B27" s="63">
        <v>46401</v>
      </c>
      <c r="C27" s="13" t="s">
        <v>1</v>
      </c>
      <c r="D27" s="12"/>
      <c r="E27" s="12"/>
      <c r="F27" s="17">
        <f t="shared" ref="F27:L27" si="12">SUM(F28:F30)</f>
        <v>1613808.72</v>
      </c>
      <c r="G27" s="106">
        <f t="shared" si="12"/>
        <v>385743.93000000005</v>
      </c>
      <c r="H27" s="17">
        <f t="shared" si="12"/>
        <v>1999552.6500000001</v>
      </c>
      <c r="I27" s="17">
        <f t="shared" si="12"/>
        <v>1936051.1400000001</v>
      </c>
      <c r="J27" s="17">
        <f t="shared" si="12"/>
        <v>0</v>
      </c>
      <c r="K27" s="17">
        <f t="shared" si="12"/>
        <v>1936051.1400000004</v>
      </c>
      <c r="L27" s="17">
        <f t="shared" si="12"/>
        <v>-63501.509999999995</v>
      </c>
      <c r="N27" s="154"/>
    </row>
    <row r="28" spans="2:14" x14ac:dyDescent="0.3">
      <c r="B28" s="67"/>
      <c r="C28" s="94"/>
      <c r="D28" s="52" t="s">
        <v>102</v>
      </c>
      <c r="E28" s="53"/>
      <c r="F28" s="87">
        <v>1500000</v>
      </c>
      <c r="G28" s="87">
        <f>283361.27+67333.33</f>
        <v>350694.60000000003</v>
      </c>
      <c r="H28" s="87">
        <f>F28+G28</f>
        <v>1850694.6</v>
      </c>
      <c r="I28" s="87">
        <f>255000+765000+381680.62+381680.65+67333.33</f>
        <v>1850694.6</v>
      </c>
      <c r="J28" s="85">
        <f>I28-K28</f>
        <v>0</v>
      </c>
      <c r="K28" s="87">
        <f>255000+381680.62+255000+255000+190840.31+255000+190840.34+67333.33</f>
        <v>1850694.6000000003</v>
      </c>
      <c r="L28" s="87">
        <f>I28-H28</f>
        <v>0</v>
      </c>
    </row>
    <row r="29" spans="2:14" x14ac:dyDescent="0.3">
      <c r="B29" s="67"/>
      <c r="D29" s="55" t="s">
        <v>197</v>
      </c>
      <c r="E29" s="55"/>
      <c r="F29" s="8">
        <v>113808.72</v>
      </c>
      <c r="G29" s="8">
        <v>0</v>
      </c>
      <c r="H29" s="8">
        <f>F29+G29</f>
        <v>113808.72</v>
      </c>
      <c r="I29" s="85">
        <f>28452.18*3</f>
        <v>85356.540000000008</v>
      </c>
      <c r="J29" s="85">
        <f>I29-K29</f>
        <v>0</v>
      </c>
      <c r="K29" s="85">
        <f>28452.18*3</f>
        <v>85356.540000000008</v>
      </c>
      <c r="L29" s="85">
        <f>I29-H29</f>
        <v>-28452.179999999993</v>
      </c>
    </row>
    <row r="30" spans="2:14" ht="15" customHeight="1" x14ac:dyDescent="0.3">
      <c r="B30" s="67"/>
      <c r="C30" s="1"/>
      <c r="D30" s="54" t="s">
        <v>77</v>
      </c>
      <c r="E30" s="55"/>
      <c r="F30" s="8">
        <v>0</v>
      </c>
      <c r="G30" s="103">
        <f>20342.94+14706.39</f>
        <v>35049.33</v>
      </c>
      <c r="H30" s="8">
        <f>F30+G30</f>
        <v>35049.33</v>
      </c>
      <c r="I30" s="8">
        <v>0</v>
      </c>
      <c r="J30" s="85">
        <f>I30-K30</f>
        <v>0</v>
      </c>
      <c r="K30" s="8">
        <v>0</v>
      </c>
      <c r="L30" s="8">
        <f>I30-H30</f>
        <v>-35049.33</v>
      </c>
    </row>
    <row r="31" spans="2:14" x14ac:dyDescent="0.3">
      <c r="B31" s="63">
        <v>48000</v>
      </c>
      <c r="C31" s="13" t="s">
        <v>200</v>
      </c>
      <c r="D31" s="12"/>
      <c r="E31" s="12"/>
      <c r="F31" s="17">
        <f>SUM(F32)</f>
        <v>0</v>
      </c>
      <c r="G31" s="17">
        <f>SUM(G32)</f>
        <v>0</v>
      </c>
      <c r="H31" s="17">
        <f>SUM(H32)</f>
        <v>0</v>
      </c>
      <c r="I31" s="17">
        <f t="shared" ref="I31:L31" si="13">SUM(I32)</f>
        <v>4631.53</v>
      </c>
      <c r="J31" s="17">
        <f t="shared" si="13"/>
        <v>0</v>
      </c>
      <c r="K31" s="17">
        <f t="shared" si="13"/>
        <v>4631.53</v>
      </c>
      <c r="L31" s="17">
        <f t="shared" si="13"/>
        <v>4631.53</v>
      </c>
    </row>
    <row r="32" spans="2:14" ht="16.5" customHeight="1" x14ac:dyDescent="0.3">
      <c r="B32" s="67"/>
      <c r="C32" s="7"/>
      <c r="D32" s="55" t="s">
        <v>201</v>
      </c>
      <c r="E32" s="55"/>
      <c r="F32" s="87">
        <v>0</v>
      </c>
      <c r="G32" s="87">
        <v>0</v>
      </c>
      <c r="H32" s="8">
        <v>0</v>
      </c>
      <c r="I32" s="87">
        <v>4631.53</v>
      </c>
      <c r="J32" s="87">
        <f>I32-K32</f>
        <v>0</v>
      </c>
      <c r="K32" s="87">
        <v>4631.53</v>
      </c>
      <c r="L32" s="87">
        <f>I32-H32</f>
        <v>4631.53</v>
      </c>
    </row>
    <row r="33" spans="2:12" x14ac:dyDescent="0.3">
      <c r="B33" s="63">
        <v>49700</v>
      </c>
      <c r="C33" s="13" t="s">
        <v>130</v>
      </c>
      <c r="D33" s="12"/>
      <c r="E33" s="12"/>
      <c r="F33" s="17">
        <f t="shared" ref="F33:L33" si="14">SUM(F34:F35)</f>
        <v>0</v>
      </c>
      <c r="G33" s="17">
        <f t="shared" si="14"/>
        <v>69399.650000000009</v>
      </c>
      <c r="H33" s="17">
        <f t="shared" si="14"/>
        <v>69399.650000000009</v>
      </c>
      <c r="I33" s="17">
        <f t="shared" si="14"/>
        <v>69399.650000000009</v>
      </c>
      <c r="J33" s="17">
        <f t="shared" si="14"/>
        <v>55430.16</v>
      </c>
      <c r="K33" s="17">
        <f t="shared" si="14"/>
        <v>13969.49</v>
      </c>
      <c r="L33" s="17">
        <f t="shared" si="14"/>
        <v>0</v>
      </c>
    </row>
    <row r="34" spans="2:12" ht="16.5" customHeight="1" x14ac:dyDescent="0.3">
      <c r="B34" s="67"/>
      <c r="C34" s="7"/>
      <c r="D34" s="170" t="s">
        <v>131</v>
      </c>
      <c r="E34" s="170"/>
      <c r="F34" s="102">
        <v>0</v>
      </c>
      <c r="G34" s="102">
        <f>12242.64+1726.85</f>
        <v>13969.49</v>
      </c>
      <c r="H34" s="86">
        <f>F34+G34</f>
        <v>13969.49</v>
      </c>
      <c r="I34" s="102">
        <v>13969.49</v>
      </c>
      <c r="J34" s="102">
        <f>I34-K34</f>
        <v>0</v>
      </c>
      <c r="K34" s="102">
        <v>13969.49</v>
      </c>
      <c r="L34" s="102">
        <f>I34-H34</f>
        <v>0</v>
      </c>
    </row>
    <row r="35" spans="2:12" ht="16.5" customHeight="1" x14ac:dyDescent="0.3">
      <c r="B35" s="67"/>
      <c r="C35" s="7"/>
      <c r="D35" s="55" t="s">
        <v>205</v>
      </c>
      <c r="E35" s="55"/>
      <c r="F35" s="8">
        <v>0</v>
      </c>
      <c r="G35" s="8">
        <v>55430.16</v>
      </c>
      <c r="H35" s="8">
        <f>F35+G35</f>
        <v>55430.16</v>
      </c>
      <c r="I35" s="8">
        <v>55430.16</v>
      </c>
      <c r="J35" s="8">
        <f>I35-K35</f>
        <v>55430.16</v>
      </c>
      <c r="K35" s="8">
        <v>0</v>
      </c>
      <c r="L35" s="8">
        <f>I35-H35</f>
        <v>0</v>
      </c>
    </row>
    <row r="36" spans="2:12" ht="16.5" customHeight="1" x14ac:dyDescent="0.3">
      <c r="B36" s="67"/>
      <c r="C36" s="7"/>
      <c r="D36" s="9"/>
      <c r="E36" s="9"/>
      <c r="F36" s="9"/>
      <c r="G36" s="9"/>
      <c r="H36" s="9"/>
      <c r="I36" s="9"/>
      <c r="J36" s="9"/>
      <c r="K36" s="9"/>
      <c r="L36" s="9"/>
    </row>
    <row r="37" spans="2:12" ht="16.5" customHeight="1" x14ac:dyDescent="0.3">
      <c r="B37" s="67"/>
      <c r="C37" s="7"/>
      <c r="D37" s="9"/>
      <c r="E37" s="9"/>
      <c r="F37" s="84"/>
      <c r="G37" s="84"/>
      <c r="H37" s="84"/>
      <c r="I37" s="84"/>
      <c r="J37" s="84"/>
      <c r="K37" s="84"/>
      <c r="L37" s="84"/>
    </row>
    <row r="38" spans="2:12" x14ac:dyDescent="0.3">
      <c r="J38" s="18"/>
    </row>
    <row r="45" spans="2:12" x14ac:dyDescent="0.3">
      <c r="G45" s="18"/>
    </row>
    <row r="59" spans="2:14" s="51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s="51" customFormat="1" x14ac:dyDescent="0.3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s="51" customFormat="1" x14ac:dyDescent="0.3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s="51" customFormat="1" x14ac:dyDescent="0.3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s="51" customFormat="1" x14ac:dyDescent="0.3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2:14" s="51" customFormat="1" x14ac:dyDescent="0.3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s="51" customFormat="1" x14ac:dyDescent="0.3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s="51" customFormat="1" x14ac:dyDescent="0.3"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2:14" s="51" customFormat="1" x14ac:dyDescent="0.3"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2:14" s="51" customFormat="1" x14ac:dyDescent="0.3"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2:14" s="51" customFormat="1" x14ac:dyDescent="0.3"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2:14" s="51" customFormat="1" x14ac:dyDescent="0.3"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2:14" s="51" customFormat="1" x14ac:dyDescent="0.3"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2:14" s="51" customFormat="1" x14ac:dyDescent="0.3"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2:14" s="51" customFormat="1" x14ac:dyDescent="0.3"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2:14" s="51" customFormat="1" x14ac:dyDescent="0.3"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2:14" s="51" customFormat="1" x14ac:dyDescent="0.3"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2:14" s="51" customFormat="1" x14ac:dyDescent="0.3"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2:14" s="51" customFormat="1" x14ac:dyDescent="0.3"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2:14" s="51" customFormat="1" x14ac:dyDescent="0.3"/>
    <row r="79" spans="2:14" s="51" customFormat="1" x14ac:dyDescent="0.3"/>
    <row r="80" spans="2:14" s="51" customFormat="1" x14ac:dyDescent="0.3"/>
    <row r="81" s="51" customFormat="1" x14ac:dyDescent="0.3"/>
    <row r="82" s="51" customFormat="1" x14ac:dyDescent="0.3"/>
    <row r="83" s="51" customFormat="1" x14ac:dyDescent="0.3"/>
  </sheetData>
  <phoneticPr fontId="19" type="noConversion"/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83"/>
  <sheetViews>
    <sheetView showGridLines="0" view="pageLayout" zoomScaleNormal="85" workbookViewId="0">
      <selection activeCell="A3" sqref="A3"/>
    </sheetView>
  </sheetViews>
  <sheetFormatPr defaultColWidth="11.33203125" defaultRowHeight="16.5" x14ac:dyDescent="0.3"/>
  <cols>
    <col min="1" max="1" width="12.5546875" customWidth="1"/>
    <col min="2" max="2" width="10.77734375" customWidth="1"/>
    <col min="3" max="3" width="8.6640625" customWidth="1"/>
    <col min="4" max="4" width="36.109375" customWidth="1"/>
    <col min="5" max="5" width="3" customWidth="1"/>
    <col min="6" max="6" width="17.6640625" customWidth="1"/>
    <col min="7" max="7" width="14.33203125" customWidth="1"/>
    <col min="8" max="8" width="13.33203125" customWidth="1"/>
    <col min="9" max="9" width="12.33203125" customWidth="1"/>
    <col min="12" max="12" width="15.21875" customWidth="1"/>
  </cols>
  <sheetData>
    <row r="2" spans="1:13" ht="17.25" thickBot="1" x14ac:dyDescent="0.35"/>
    <row r="3" spans="1:13" s="171" customFormat="1" ht="24" customHeight="1" thickBot="1" x14ac:dyDescent="0.35">
      <c r="A3" s="180" t="s">
        <v>63</v>
      </c>
      <c r="B3" s="181"/>
      <c r="C3" s="181"/>
      <c r="D3" s="181"/>
      <c r="E3" s="181"/>
      <c r="F3" s="182">
        <f>F7</f>
        <v>30</v>
      </c>
      <c r="G3" s="183">
        <f t="shared" ref="G3:L3" si="0">G7</f>
        <v>0</v>
      </c>
      <c r="H3" s="183">
        <f t="shared" si="0"/>
        <v>30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-30</v>
      </c>
      <c r="M3" s="101"/>
    </row>
    <row r="4" spans="1:13" ht="17.25" thickBot="1" x14ac:dyDescent="0.35"/>
    <row r="5" spans="1:13" s="21" customFormat="1" ht="50.25" thickBot="1" x14ac:dyDescent="0.35">
      <c r="A5" s="35"/>
      <c r="B5" s="20" t="s">
        <v>62</v>
      </c>
      <c r="C5" s="57"/>
      <c r="D5" s="190" t="s">
        <v>3</v>
      </c>
      <c r="E5" s="191"/>
      <c r="F5" s="60" t="s">
        <v>135</v>
      </c>
      <c r="G5" s="78" t="s">
        <v>120</v>
      </c>
      <c r="H5" s="78" t="s">
        <v>121</v>
      </c>
      <c r="I5" s="95" t="s">
        <v>191</v>
      </c>
      <c r="J5" s="78" t="s">
        <v>122</v>
      </c>
      <c r="K5" s="96" t="s">
        <v>123</v>
      </c>
      <c r="L5" s="97" t="s">
        <v>124</v>
      </c>
    </row>
    <row r="6" spans="1:13" x14ac:dyDescent="0.3">
      <c r="B6" s="22"/>
      <c r="C6" s="23"/>
      <c r="D6" s="4"/>
      <c r="E6" s="4"/>
      <c r="F6" s="45"/>
    </row>
    <row r="7" spans="1:13" ht="17.25" thickBot="1" x14ac:dyDescent="0.35">
      <c r="B7" s="37">
        <v>5</v>
      </c>
      <c r="C7" s="38" t="s">
        <v>56</v>
      </c>
      <c r="D7" s="39"/>
      <c r="E7" s="39"/>
      <c r="F7" s="40">
        <f>F8</f>
        <v>30</v>
      </c>
      <c r="G7" s="40">
        <f t="shared" ref="G7:L7" si="1">G8</f>
        <v>0</v>
      </c>
      <c r="H7" s="40">
        <f t="shared" si="1"/>
        <v>30</v>
      </c>
      <c r="I7" s="40">
        <f t="shared" si="1"/>
        <v>0</v>
      </c>
      <c r="J7" s="40">
        <f t="shared" si="1"/>
        <v>0</v>
      </c>
      <c r="K7" s="40">
        <f t="shared" si="1"/>
        <v>0</v>
      </c>
      <c r="L7" s="40">
        <f t="shared" si="1"/>
        <v>-30</v>
      </c>
    </row>
    <row r="8" spans="1:13" s="2" customFormat="1" ht="17.25" thickTop="1" x14ac:dyDescent="0.3">
      <c r="B8" s="61">
        <v>52000</v>
      </c>
      <c r="C8" s="41" t="s">
        <v>87</v>
      </c>
      <c r="D8" s="42"/>
      <c r="E8" s="42"/>
      <c r="F8" s="43">
        <f>F9</f>
        <v>30</v>
      </c>
      <c r="G8" s="111">
        <f t="shared" ref="G8:L8" si="2">SUM(G9)</f>
        <v>0</v>
      </c>
      <c r="H8" s="111">
        <f t="shared" si="2"/>
        <v>30</v>
      </c>
      <c r="I8" s="111">
        <f t="shared" si="2"/>
        <v>0</v>
      </c>
      <c r="J8" s="111">
        <f t="shared" si="2"/>
        <v>0</v>
      </c>
      <c r="K8" s="111">
        <f t="shared" si="2"/>
        <v>0</v>
      </c>
      <c r="L8" s="111">
        <f t="shared" si="2"/>
        <v>-30</v>
      </c>
    </row>
    <row r="9" spans="1:13" x14ac:dyDescent="0.3">
      <c r="B9" s="3"/>
      <c r="C9" s="82"/>
      <c r="D9" s="44" t="s">
        <v>87</v>
      </c>
      <c r="E9" s="44"/>
      <c r="F9" s="85">
        <v>30</v>
      </c>
      <c r="G9" s="8">
        <v>0</v>
      </c>
      <c r="H9" s="87">
        <f>F9+G9</f>
        <v>30</v>
      </c>
      <c r="I9" s="8">
        <v>0</v>
      </c>
      <c r="J9" s="87">
        <f>I9-K9</f>
        <v>0</v>
      </c>
      <c r="K9" s="8">
        <v>0</v>
      </c>
      <c r="L9" s="87">
        <f>I9-H9</f>
        <v>-30</v>
      </c>
    </row>
    <row r="12" spans="1:13" ht="17.25" thickBot="1" x14ac:dyDescent="0.35"/>
    <row r="13" spans="1:13" s="171" customFormat="1" ht="24.75" customHeight="1" thickBot="1" x14ac:dyDescent="0.35">
      <c r="A13" s="180" t="s">
        <v>134</v>
      </c>
      <c r="B13" s="181"/>
      <c r="C13" s="181"/>
      <c r="D13" s="181"/>
      <c r="E13" s="181"/>
      <c r="F13" s="182">
        <f t="shared" ref="F13:L13" si="3">F17</f>
        <v>0</v>
      </c>
      <c r="G13" s="183">
        <f t="shared" si="3"/>
        <v>591730.82000000007</v>
      </c>
      <c r="H13" s="183">
        <f t="shared" si="3"/>
        <v>591730.82000000007</v>
      </c>
      <c r="I13" s="183">
        <f t="shared" si="3"/>
        <v>0</v>
      </c>
      <c r="J13" s="183">
        <f t="shared" si="3"/>
        <v>0</v>
      </c>
      <c r="K13" s="183">
        <f t="shared" si="3"/>
        <v>0</v>
      </c>
      <c r="L13" s="183">
        <f t="shared" si="3"/>
        <v>-591730.82000000007</v>
      </c>
    </row>
    <row r="14" spans="1:13" ht="17.25" thickBot="1" x14ac:dyDescent="0.35"/>
    <row r="15" spans="1:13" s="21" customFormat="1" ht="50.25" thickBot="1" x14ac:dyDescent="0.35">
      <c r="A15" s="35"/>
      <c r="B15" s="20" t="s">
        <v>62</v>
      </c>
      <c r="C15" s="57"/>
      <c r="D15" s="190" t="s">
        <v>3</v>
      </c>
      <c r="E15" s="191"/>
      <c r="F15" s="60" t="s">
        <v>135</v>
      </c>
      <c r="G15" s="78" t="s">
        <v>120</v>
      </c>
      <c r="H15" s="78" t="s">
        <v>121</v>
      </c>
      <c r="I15" s="95" t="s">
        <v>191</v>
      </c>
      <c r="J15" s="78" t="s">
        <v>122</v>
      </c>
      <c r="K15" s="96" t="s">
        <v>123</v>
      </c>
      <c r="L15" s="97" t="s">
        <v>124</v>
      </c>
    </row>
    <row r="16" spans="1:13" x14ac:dyDescent="0.3">
      <c r="B16" s="22"/>
      <c r="C16" s="23"/>
      <c r="D16" s="4"/>
      <c r="E16" s="4"/>
      <c r="F16" s="45"/>
    </row>
    <row r="17" spans="2:12" ht="17.25" thickBot="1" x14ac:dyDescent="0.35">
      <c r="B17" s="37">
        <v>8</v>
      </c>
      <c r="C17" s="38" t="s">
        <v>136</v>
      </c>
      <c r="D17" s="39"/>
      <c r="E17" s="39"/>
      <c r="F17" s="40">
        <f>F18+F20</f>
        <v>0</v>
      </c>
      <c r="G17" s="40">
        <f t="shared" ref="G17:L17" si="4">G18+G20</f>
        <v>591730.82000000007</v>
      </c>
      <c r="H17" s="40">
        <f t="shared" si="4"/>
        <v>591730.82000000007</v>
      </c>
      <c r="I17" s="40">
        <f t="shared" si="4"/>
        <v>0</v>
      </c>
      <c r="J17" s="40">
        <f t="shared" si="4"/>
        <v>0</v>
      </c>
      <c r="K17" s="40">
        <f t="shared" si="4"/>
        <v>0</v>
      </c>
      <c r="L17" s="40">
        <f t="shared" si="4"/>
        <v>-591730.82000000007</v>
      </c>
    </row>
    <row r="18" spans="2:12" s="2" customFormat="1" ht="17.25" thickTop="1" x14ac:dyDescent="0.3">
      <c r="B18" s="110">
        <v>87010</v>
      </c>
      <c r="C18" s="41" t="s">
        <v>137</v>
      </c>
      <c r="D18" s="42"/>
      <c r="E18" s="42"/>
      <c r="F18" s="43">
        <f>F19</f>
        <v>0</v>
      </c>
      <c r="G18" s="111">
        <f t="shared" ref="G18:L18" si="5">SUM(G19)</f>
        <v>584468.28</v>
      </c>
      <c r="H18" s="111">
        <f t="shared" si="5"/>
        <v>584468.28</v>
      </c>
      <c r="I18" s="111">
        <f t="shared" si="5"/>
        <v>0</v>
      </c>
      <c r="J18" s="111">
        <f t="shared" si="5"/>
        <v>0</v>
      </c>
      <c r="K18" s="111">
        <f t="shared" si="5"/>
        <v>0</v>
      </c>
      <c r="L18" s="111">
        <f t="shared" si="5"/>
        <v>-584468.28</v>
      </c>
    </row>
    <row r="19" spans="2:12" x14ac:dyDescent="0.3">
      <c r="B19" s="3"/>
      <c r="C19" s="112"/>
      <c r="D19" s="4" t="s">
        <v>137</v>
      </c>
      <c r="E19" s="4"/>
      <c r="F19" s="84">
        <v>0</v>
      </c>
      <c r="G19" s="8">
        <f>491234.16+10494.82+82739.3</f>
        <v>584468.28</v>
      </c>
      <c r="H19" s="87">
        <f>F19+G19</f>
        <v>584468.28</v>
      </c>
      <c r="I19" s="8">
        <v>0</v>
      </c>
      <c r="J19" s="87">
        <f>I19-K19</f>
        <v>0</v>
      </c>
      <c r="K19" s="8">
        <v>0</v>
      </c>
      <c r="L19" s="87">
        <f>I19-H19</f>
        <v>-584468.28</v>
      </c>
    </row>
    <row r="20" spans="2:12" s="2" customFormat="1" x14ac:dyDescent="0.3">
      <c r="B20" s="65">
        <v>87000</v>
      </c>
      <c r="C20" s="11" t="s">
        <v>138</v>
      </c>
      <c r="D20" s="12"/>
      <c r="E20" s="12"/>
      <c r="F20" s="106">
        <f>F21</f>
        <v>0</v>
      </c>
      <c r="G20" s="111">
        <f t="shared" ref="G20:L20" si="6">SUM(G21)</f>
        <v>7262.54</v>
      </c>
      <c r="H20" s="111">
        <f t="shared" si="6"/>
        <v>7262.54</v>
      </c>
      <c r="I20" s="111">
        <f t="shared" si="6"/>
        <v>0</v>
      </c>
      <c r="J20" s="111">
        <f t="shared" si="6"/>
        <v>0</v>
      </c>
      <c r="K20" s="111">
        <f t="shared" si="6"/>
        <v>0</v>
      </c>
      <c r="L20" s="111">
        <f t="shared" si="6"/>
        <v>-7262.54</v>
      </c>
    </row>
    <row r="21" spans="2:12" x14ac:dyDescent="0.3">
      <c r="B21" s="3"/>
      <c r="C21" s="82"/>
      <c r="D21" s="44" t="s">
        <v>138</v>
      </c>
      <c r="E21" s="44"/>
      <c r="F21" s="85">
        <v>0</v>
      </c>
      <c r="G21" s="87">
        <f>2402.95+2000.97+2858.62</f>
        <v>7262.54</v>
      </c>
      <c r="H21" s="87">
        <f>F21+G21</f>
        <v>7262.54</v>
      </c>
      <c r="I21" s="8">
        <v>0</v>
      </c>
      <c r="J21" s="87">
        <f>I21-K21</f>
        <v>0</v>
      </c>
      <c r="K21" s="8">
        <v>0</v>
      </c>
      <c r="L21" s="87">
        <f>I21-H21</f>
        <v>-7262.54</v>
      </c>
    </row>
    <row r="38" ht="9" customHeight="1" x14ac:dyDescent="0.3"/>
    <row r="59" spans="2:16" s="51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2:16" s="51" customFormat="1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2:16" s="51" customFormat="1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2:16" s="51" customFormat="1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2:16" s="51" customFormat="1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2:16" s="51" customFormat="1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2:16" s="51" customFormat="1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2:16" s="51" customFormat="1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2:16" s="51" customFormat="1" x14ac:dyDescent="0.3">
      <c r="F67"/>
      <c r="G67"/>
      <c r="H67"/>
      <c r="I67"/>
      <c r="J67"/>
      <c r="K67"/>
      <c r="L67"/>
      <c r="M67"/>
      <c r="N67"/>
      <c r="O67"/>
      <c r="P67"/>
    </row>
    <row r="68" spans="2:16" s="51" customFormat="1" x14ac:dyDescent="0.3">
      <c r="F68"/>
      <c r="G68"/>
      <c r="H68"/>
      <c r="I68"/>
      <c r="J68"/>
      <c r="K68"/>
      <c r="L68"/>
      <c r="M68"/>
      <c r="N68"/>
      <c r="O68"/>
      <c r="P68"/>
    </row>
    <row r="69" spans="2:16" s="51" customFormat="1" x14ac:dyDescent="0.3">
      <c r="F69"/>
      <c r="G69"/>
      <c r="H69"/>
      <c r="I69"/>
      <c r="J69"/>
      <c r="K69"/>
      <c r="L69"/>
      <c r="M69"/>
      <c r="N69"/>
      <c r="O69"/>
      <c r="P69"/>
    </row>
    <row r="70" spans="2:16" s="51" customFormat="1" x14ac:dyDescent="0.3">
      <c r="F70"/>
      <c r="G70"/>
      <c r="H70"/>
      <c r="I70"/>
      <c r="J70"/>
      <c r="K70"/>
      <c r="L70"/>
      <c r="M70"/>
      <c r="N70"/>
      <c r="O70"/>
      <c r="P70"/>
    </row>
    <row r="71" spans="2:16" s="51" customFormat="1" x14ac:dyDescent="0.3">
      <c r="F71"/>
      <c r="G71"/>
      <c r="H71"/>
      <c r="I71"/>
      <c r="J71"/>
      <c r="K71"/>
      <c r="L71"/>
      <c r="M71"/>
      <c r="N71"/>
      <c r="O71"/>
      <c r="P71"/>
    </row>
    <row r="72" spans="2:16" s="51" customFormat="1" x14ac:dyDescent="0.3">
      <c r="F72"/>
      <c r="G72"/>
      <c r="H72"/>
      <c r="I72"/>
      <c r="J72"/>
      <c r="K72"/>
      <c r="L72"/>
      <c r="M72"/>
      <c r="N72"/>
      <c r="O72"/>
      <c r="P72"/>
    </row>
    <row r="73" spans="2:16" s="51" customFormat="1" x14ac:dyDescent="0.3">
      <c r="F73"/>
      <c r="G73"/>
      <c r="H73"/>
      <c r="I73"/>
      <c r="J73"/>
      <c r="K73"/>
      <c r="L73"/>
      <c r="M73"/>
      <c r="N73"/>
      <c r="O73"/>
      <c r="P73"/>
    </row>
    <row r="74" spans="2:16" s="51" customFormat="1" x14ac:dyDescent="0.3">
      <c r="F74"/>
      <c r="G74"/>
      <c r="H74"/>
      <c r="I74"/>
      <c r="J74"/>
      <c r="K74"/>
      <c r="L74"/>
      <c r="M74"/>
      <c r="N74"/>
      <c r="O74"/>
      <c r="P74"/>
    </row>
    <row r="75" spans="2:16" s="51" customFormat="1" x14ac:dyDescent="0.3">
      <c r="F75"/>
      <c r="G75"/>
      <c r="H75"/>
      <c r="I75"/>
      <c r="J75"/>
      <c r="K75"/>
      <c r="L75"/>
      <c r="M75"/>
      <c r="N75"/>
      <c r="O75"/>
      <c r="P75"/>
    </row>
    <row r="76" spans="2:16" s="51" customFormat="1" x14ac:dyDescent="0.3">
      <c r="F76"/>
      <c r="G76"/>
      <c r="H76"/>
      <c r="I76"/>
      <c r="J76"/>
      <c r="K76"/>
      <c r="L76"/>
      <c r="M76"/>
      <c r="N76"/>
      <c r="O76"/>
      <c r="P76"/>
    </row>
    <row r="77" spans="2:16" s="51" customFormat="1" x14ac:dyDescent="0.3">
      <c r="F77"/>
      <c r="G77"/>
      <c r="H77"/>
      <c r="I77"/>
      <c r="J77"/>
      <c r="K77"/>
      <c r="L77"/>
      <c r="M77"/>
      <c r="N77"/>
      <c r="O77"/>
      <c r="P77"/>
    </row>
    <row r="78" spans="2:16" s="51" customFormat="1" x14ac:dyDescent="0.3">
      <c r="F78"/>
      <c r="G78"/>
      <c r="H78"/>
      <c r="I78"/>
      <c r="J78"/>
      <c r="K78"/>
      <c r="L78"/>
      <c r="M78"/>
      <c r="N78"/>
      <c r="O78"/>
      <c r="P78"/>
    </row>
    <row r="79" spans="2:16" s="51" customFormat="1" x14ac:dyDescent="0.3">
      <c r="F79"/>
      <c r="G79"/>
      <c r="H79"/>
      <c r="I79"/>
      <c r="J79"/>
      <c r="K79"/>
      <c r="L79"/>
      <c r="M79"/>
      <c r="N79"/>
      <c r="O79"/>
      <c r="P79"/>
    </row>
    <row r="80" spans="2:16" s="51" customFormat="1" x14ac:dyDescent="0.3">
      <c r="F80"/>
      <c r="G80"/>
      <c r="H80"/>
      <c r="I80"/>
      <c r="J80"/>
      <c r="K80"/>
      <c r="L80"/>
      <c r="M80"/>
      <c r="N80"/>
      <c r="O80"/>
      <c r="P80"/>
    </row>
    <row r="81" spans="6:16" s="51" customFormat="1" x14ac:dyDescent="0.3">
      <c r="F81"/>
      <c r="G81"/>
      <c r="H81"/>
      <c r="I81"/>
      <c r="J81"/>
      <c r="K81"/>
      <c r="L81"/>
      <c r="M81"/>
      <c r="N81"/>
      <c r="O81"/>
      <c r="P81"/>
    </row>
    <row r="82" spans="6:16" s="51" customFormat="1" x14ac:dyDescent="0.3"/>
    <row r="83" spans="6:16" s="51" customFormat="1" x14ac:dyDescent="0.3"/>
  </sheetData>
  <mergeCells count="2">
    <mergeCell ref="D5:E5"/>
    <mergeCell ref="D15:E15"/>
  </mergeCells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83"/>
  <sheetViews>
    <sheetView showGridLines="0" view="pageLayout" zoomScaleNormal="100" workbookViewId="0">
      <selection activeCell="A3" sqref="A3"/>
    </sheetView>
  </sheetViews>
  <sheetFormatPr defaultColWidth="11.33203125" defaultRowHeight="16.5" x14ac:dyDescent="0.3"/>
  <cols>
    <col min="1" max="1" width="12.5546875" customWidth="1"/>
    <col min="2" max="2" width="10.77734375" customWidth="1"/>
    <col min="3" max="4" width="15.77734375" customWidth="1"/>
    <col min="5" max="5" width="9.5546875" customWidth="1"/>
    <col min="6" max="12" width="13.33203125" customWidth="1"/>
  </cols>
  <sheetData>
    <row r="2" spans="1:12" ht="17.25" thickBot="1" x14ac:dyDescent="0.35"/>
    <row r="3" spans="1:12" s="46" customFormat="1" ht="19.5" thickBot="1" x14ac:dyDescent="0.4">
      <c r="A3" s="176" t="s">
        <v>99</v>
      </c>
      <c r="B3" s="184"/>
      <c r="C3" s="184"/>
      <c r="D3" s="184"/>
      <c r="E3" s="184"/>
      <c r="F3" s="178">
        <f t="shared" ref="F3:L3" si="0">F7</f>
        <v>2735231.45052</v>
      </c>
      <c r="G3" s="179">
        <f t="shared" si="0"/>
        <v>931401.7</v>
      </c>
      <c r="H3" s="179">
        <f t="shared" si="0"/>
        <v>3666633.1505200001</v>
      </c>
      <c r="I3" s="179">
        <f t="shared" si="0"/>
        <v>3565567.4700000007</v>
      </c>
      <c r="J3" s="179">
        <f t="shared" si="0"/>
        <v>0</v>
      </c>
      <c r="K3" s="179">
        <f>K7</f>
        <v>3565567.4700000007</v>
      </c>
      <c r="L3" s="179">
        <f t="shared" si="0"/>
        <v>101065.68051999986</v>
      </c>
    </row>
    <row r="4" spans="1:12" ht="17.25" thickBot="1" x14ac:dyDescent="0.35"/>
    <row r="5" spans="1:12" s="36" customFormat="1" ht="50.25" thickBot="1" x14ac:dyDescent="0.35">
      <c r="A5" s="68" t="s">
        <v>64</v>
      </c>
      <c r="B5" s="47" t="s">
        <v>65</v>
      </c>
      <c r="C5" s="71" t="s">
        <v>83</v>
      </c>
      <c r="D5" s="72"/>
      <c r="E5" s="73"/>
      <c r="F5" s="60" t="s">
        <v>135</v>
      </c>
      <c r="G5" s="78" t="s">
        <v>120</v>
      </c>
      <c r="H5" s="78" t="s">
        <v>121</v>
      </c>
      <c r="I5" s="95" t="s">
        <v>202</v>
      </c>
      <c r="J5" s="95" t="s">
        <v>125</v>
      </c>
      <c r="K5" s="96" t="s">
        <v>139</v>
      </c>
      <c r="L5" s="96" t="s">
        <v>124</v>
      </c>
    </row>
    <row r="7" spans="1:12" ht="17.25" thickBot="1" x14ac:dyDescent="0.35">
      <c r="A7" s="48">
        <v>462</v>
      </c>
      <c r="B7" s="37">
        <v>1</v>
      </c>
      <c r="C7" s="38" t="s">
        <v>85</v>
      </c>
      <c r="D7" s="39"/>
      <c r="E7" s="49"/>
      <c r="F7" s="40">
        <f>SUM(F8:F16)</f>
        <v>2735231.45052</v>
      </c>
      <c r="G7" s="40">
        <f t="shared" ref="G7:H7" si="1">SUM(G8:G16)</f>
        <v>931401.7</v>
      </c>
      <c r="H7" s="40">
        <f t="shared" si="1"/>
        <v>3666633.1505200001</v>
      </c>
      <c r="I7" s="40">
        <f>SUM(I8:I16)</f>
        <v>3565567.4700000007</v>
      </c>
      <c r="J7" s="40">
        <f t="shared" ref="J7:L7" si="2">SUM(J8:J16)</f>
        <v>0</v>
      </c>
      <c r="K7" s="40">
        <f t="shared" si="2"/>
        <v>3565567.4700000007</v>
      </c>
      <c r="L7" s="40">
        <f t="shared" si="2"/>
        <v>101065.68051999986</v>
      </c>
    </row>
    <row r="8" spans="1:12" ht="17.25" thickTop="1" x14ac:dyDescent="0.3">
      <c r="A8" s="16" t="s">
        <v>66</v>
      </c>
      <c r="B8" s="69" t="s">
        <v>53</v>
      </c>
      <c r="C8" s="6" t="s">
        <v>54</v>
      </c>
      <c r="D8" s="6"/>
      <c r="E8" s="6"/>
      <c r="F8" s="8">
        <v>68686.37999999999</v>
      </c>
      <c r="G8" s="8">
        <v>0</v>
      </c>
      <c r="H8" s="8">
        <f>F8+G8</f>
        <v>68686.37999999999</v>
      </c>
      <c r="I8" s="8">
        <f>70408.95</f>
        <v>70408.95</v>
      </c>
      <c r="J8" s="8">
        <f>I8-K8</f>
        <v>0</v>
      </c>
      <c r="K8" s="8">
        <f>70408.95</f>
        <v>70408.95</v>
      </c>
      <c r="L8" s="8">
        <f>H8-I8</f>
        <v>-1722.570000000007</v>
      </c>
    </row>
    <row r="9" spans="1:12" x14ac:dyDescent="0.3">
      <c r="A9" s="16" t="s">
        <v>82</v>
      </c>
      <c r="B9" s="70" t="s">
        <v>11</v>
      </c>
      <c r="C9" s="5" t="s">
        <v>8</v>
      </c>
      <c r="D9" s="5"/>
      <c r="E9" s="5"/>
      <c r="F9" s="8">
        <v>1125638.3599999999</v>
      </c>
      <c r="G9" s="8">
        <f>801394.72+30000</f>
        <v>831394.72</v>
      </c>
      <c r="H9" s="8">
        <f t="shared" ref="H9:H15" si="3">F9+G9</f>
        <v>1957033.0799999998</v>
      </c>
      <c r="I9" s="8">
        <v>2418799.6800000002</v>
      </c>
      <c r="J9" s="8">
        <f>I9-K9</f>
        <v>0</v>
      </c>
      <c r="K9" s="8">
        <v>2418799.6800000002</v>
      </c>
      <c r="L9" s="8">
        <f t="shared" ref="L9:L15" si="4">H9-I9</f>
        <v>-461766.60000000033</v>
      </c>
    </row>
    <row r="10" spans="1:12" x14ac:dyDescent="0.3">
      <c r="A10" s="16" t="s">
        <v>67</v>
      </c>
      <c r="B10" s="70" t="s">
        <v>72</v>
      </c>
      <c r="C10" s="5" t="s">
        <v>73</v>
      </c>
      <c r="D10" s="5"/>
      <c r="E10" s="5"/>
      <c r="F10" s="8">
        <v>800114.9800000001</v>
      </c>
      <c r="G10" s="8">
        <v>100006.98</v>
      </c>
      <c r="H10" s="8">
        <f t="shared" si="3"/>
        <v>900121.96000000008</v>
      </c>
      <c r="I10" s="8">
        <v>128316.12</v>
      </c>
      <c r="J10" s="8">
        <f t="shared" ref="J10:J15" si="5">I10-K10</f>
        <v>0</v>
      </c>
      <c r="K10" s="8">
        <v>128316.12</v>
      </c>
      <c r="L10" s="8">
        <f t="shared" si="4"/>
        <v>771805.84000000008</v>
      </c>
    </row>
    <row r="11" spans="1:12" x14ac:dyDescent="0.3">
      <c r="B11" s="70" t="s">
        <v>74</v>
      </c>
      <c r="C11" s="5" t="s">
        <v>70</v>
      </c>
      <c r="D11" s="5"/>
      <c r="E11" s="5"/>
      <c r="F11" s="8">
        <v>0</v>
      </c>
      <c r="G11" s="8">
        <v>0</v>
      </c>
      <c r="H11" s="8">
        <f t="shared" si="3"/>
        <v>0</v>
      </c>
      <c r="I11" s="8">
        <v>7341.1</v>
      </c>
      <c r="J11" s="8">
        <f t="shared" si="5"/>
        <v>0</v>
      </c>
      <c r="K11" s="8">
        <v>7341.1</v>
      </c>
      <c r="L11" s="8">
        <f t="shared" si="4"/>
        <v>-7341.1</v>
      </c>
    </row>
    <row r="12" spans="1:12" x14ac:dyDescent="0.3">
      <c r="B12" s="70" t="s">
        <v>105</v>
      </c>
      <c r="C12" s="5" t="s">
        <v>106</v>
      </c>
      <c r="D12" s="5"/>
      <c r="E12" s="5"/>
      <c r="F12" s="8">
        <v>10000</v>
      </c>
      <c r="G12" s="8">
        <v>0</v>
      </c>
      <c r="H12" s="8">
        <f t="shared" si="3"/>
        <v>10000</v>
      </c>
      <c r="I12" s="8">
        <v>11428</v>
      </c>
      <c r="J12" s="8">
        <f t="shared" si="5"/>
        <v>0</v>
      </c>
      <c r="K12" s="8">
        <v>11428</v>
      </c>
      <c r="L12" s="8">
        <f t="shared" si="4"/>
        <v>-1428</v>
      </c>
    </row>
    <row r="13" spans="1:12" x14ac:dyDescent="0.3">
      <c r="B13" s="70" t="s">
        <v>12</v>
      </c>
      <c r="C13" s="5" t="s">
        <v>2</v>
      </c>
      <c r="D13" s="5"/>
      <c r="E13" s="5"/>
      <c r="F13" s="8">
        <v>648583.33052000008</v>
      </c>
      <c r="G13" s="8">
        <v>0</v>
      </c>
      <c r="H13" s="8">
        <f t="shared" si="3"/>
        <v>648583.33052000008</v>
      </c>
      <c r="I13" s="8">
        <v>838544.1</v>
      </c>
      <c r="J13" s="8">
        <f t="shared" si="5"/>
        <v>0</v>
      </c>
      <c r="K13" s="8">
        <v>838544.1</v>
      </c>
      <c r="L13" s="8">
        <f t="shared" si="4"/>
        <v>-189960.7694799999</v>
      </c>
    </row>
    <row r="14" spans="1:12" x14ac:dyDescent="0.3">
      <c r="B14" s="70" t="s">
        <v>13</v>
      </c>
      <c r="C14" s="5" t="s">
        <v>14</v>
      </c>
      <c r="D14" s="5"/>
      <c r="E14" s="5"/>
      <c r="F14" s="8">
        <v>15000</v>
      </c>
      <c r="G14" s="8">
        <v>0</v>
      </c>
      <c r="H14" s="8">
        <f t="shared" si="3"/>
        <v>15000</v>
      </c>
      <c r="I14" s="8">
        <v>1307.52</v>
      </c>
      <c r="J14" s="8">
        <f t="shared" si="5"/>
        <v>0</v>
      </c>
      <c r="K14" s="8">
        <v>1307.52</v>
      </c>
      <c r="L14" s="8">
        <f t="shared" si="4"/>
        <v>13692.48</v>
      </c>
    </row>
    <row r="15" spans="1:12" x14ac:dyDescent="0.3">
      <c r="B15" s="70" t="s">
        <v>75</v>
      </c>
      <c r="C15" s="5" t="s">
        <v>76</v>
      </c>
      <c r="D15" s="5"/>
      <c r="E15" s="5"/>
      <c r="F15" s="15">
        <v>67208.399999999994</v>
      </c>
      <c r="G15" s="8">
        <v>0</v>
      </c>
      <c r="H15" s="8">
        <f t="shared" si="3"/>
        <v>67208.399999999994</v>
      </c>
      <c r="I15" s="15">
        <v>89422</v>
      </c>
      <c r="J15" s="15">
        <f t="shared" si="5"/>
        <v>0</v>
      </c>
      <c r="K15" s="15">
        <v>89422</v>
      </c>
      <c r="L15" s="15">
        <f t="shared" si="4"/>
        <v>-22213.600000000006</v>
      </c>
    </row>
    <row r="17" spans="2:6" x14ac:dyDescent="0.3">
      <c r="B17" s="74"/>
    </row>
    <row r="18" spans="2:6" ht="22.5" x14ac:dyDescent="0.4">
      <c r="B18" s="75"/>
      <c r="F18" s="89"/>
    </row>
    <row r="19" spans="2:6" ht="22.5" x14ac:dyDescent="0.4">
      <c r="F19" s="89"/>
    </row>
    <row r="20" spans="2:6" ht="22.5" x14ac:dyDescent="0.4">
      <c r="F20" s="89"/>
    </row>
    <row r="21" spans="2:6" ht="22.5" x14ac:dyDescent="0.4">
      <c r="F21" s="89"/>
    </row>
    <row r="22" spans="2:6" ht="22.5" x14ac:dyDescent="0.4">
      <c r="F22" s="89"/>
    </row>
    <row r="23" spans="2:6" ht="22.5" x14ac:dyDescent="0.4">
      <c r="F23" s="89"/>
    </row>
    <row r="24" spans="2:6" ht="22.5" x14ac:dyDescent="0.4">
      <c r="D24" s="18"/>
      <c r="F24" s="89"/>
    </row>
    <row r="25" spans="2:6" ht="22.5" x14ac:dyDescent="0.4">
      <c r="F25" s="89"/>
    </row>
    <row r="26" spans="2:6" ht="22.5" x14ac:dyDescent="0.4">
      <c r="F26" s="89"/>
    </row>
    <row r="38" ht="9" customHeigh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</sheetData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86"/>
  <sheetViews>
    <sheetView showGridLines="0" view="pageLayout" zoomScaleNormal="100" workbookViewId="0">
      <selection activeCell="A3" sqref="A3"/>
    </sheetView>
  </sheetViews>
  <sheetFormatPr defaultColWidth="11.33203125" defaultRowHeight="16.5" x14ac:dyDescent="0.3"/>
  <cols>
    <col min="1" max="1" width="12.5546875" customWidth="1"/>
    <col min="2" max="2" width="10.77734375" customWidth="1"/>
    <col min="3" max="3" width="1.77734375" customWidth="1"/>
    <col min="4" max="4" width="28.33203125" customWidth="1"/>
    <col min="5" max="5" width="26.6640625" customWidth="1"/>
    <col min="6" max="6" width="13.33203125" customWidth="1"/>
    <col min="7" max="7" width="12.77734375" customWidth="1"/>
    <col min="8" max="8" width="13.6640625" customWidth="1"/>
    <col min="9" max="9" width="13.88671875" customWidth="1"/>
    <col min="10" max="10" width="12.21875" customWidth="1"/>
    <col min="11" max="11" width="12.109375" customWidth="1"/>
    <col min="12" max="12" width="12.21875" customWidth="1"/>
  </cols>
  <sheetData>
    <row r="2" spans="1:12" ht="17.25" thickBot="1" x14ac:dyDescent="0.35"/>
    <row r="3" spans="1:12" s="46" customFormat="1" ht="19.5" thickBot="1" x14ac:dyDescent="0.4">
      <c r="A3" s="176" t="s">
        <v>45</v>
      </c>
      <c r="B3" s="184"/>
      <c r="C3" s="184"/>
      <c r="D3" s="184"/>
      <c r="E3" s="184"/>
      <c r="F3" s="178">
        <f t="shared" ref="F3:L3" si="0">F7</f>
        <v>856207.69</v>
      </c>
      <c r="G3" s="179">
        <f t="shared" si="0"/>
        <v>516354.70999999996</v>
      </c>
      <c r="H3" s="179">
        <f t="shared" si="0"/>
        <v>1372562.4000000001</v>
      </c>
      <c r="I3" s="179">
        <f t="shared" si="0"/>
        <v>1234805.4100000001</v>
      </c>
      <c r="J3" s="179">
        <f t="shared" si="0"/>
        <v>363555.35000000003</v>
      </c>
      <c r="K3" s="179">
        <f t="shared" si="0"/>
        <v>871250.06</v>
      </c>
      <c r="L3" s="179">
        <f t="shared" si="0"/>
        <v>137756.98999999985</v>
      </c>
    </row>
    <row r="4" spans="1:12" ht="17.25" thickBot="1" x14ac:dyDescent="0.35"/>
    <row r="5" spans="1:12" s="36" customFormat="1" ht="50.25" customHeight="1" thickBot="1" x14ac:dyDescent="0.35">
      <c r="A5" s="68" t="s">
        <v>64</v>
      </c>
      <c r="B5" s="47" t="s">
        <v>65</v>
      </c>
      <c r="C5" s="71"/>
      <c r="D5" s="72" t="s">
        <v>3</v>
      </c>
      <c r="E5" s="73"/>
      <c r="F5" s="60" t="s">
        <v>135</v>
      </c>
      <c r="G5" s="78" t="s">
        <v>120</v>
      </c>
      <c r="H5" s="78" t="s">
        <v>121</v>
      </c>
      <c r="I5" s="95" t="s">
        <v>202</v>
      </c>
      <c r="J5" s="95" t="s">
        <v>125</v>
      </c>
      <c r="K5" s="95" t="s">
        <v>139</v>
      </c>
      <c r="L5" s="95" t="s">
        <v>124</v>
      </c>
    </row>
    <row r="7" spans="1:12" ht="17.25" thickBot="1" x14ac:dyDescent="0.35">
      <c r="A7" s="48">
        <v>462</v>
      </c>
      <c r="B7" s="37">
        <v>2</v>
      </c>
      <c r="C7" s="50" t="s">
        <v>88</v>
      </c>
      <c r="D7" s="39"/>
      <c r="E7" s="49"/>
      <c r="F7" s="40">
        <f t="shared" ref="F7:L7" si="1">SUM(F8:F30)</f>
        <v>856207.69</v>
      </c>
      <c r="G7" s="40">
        <f t="shared" si="1"/>
        <v>516354.70999999996</v>
      </c>
      <c r="H7" s="40">
        <f t="shared" si="1"/>
        <v>1372562.4000000001</v>
      </c>
      <c r="I7" s="40">
        <f t="shared" si="1"/>
        <v>1234805.4100000001</v>
      </c>
      <c r="J7" s="40">
        <f t="shared" si="1"/>
        <v>363555.35000000003</v>
      </c>
      <c r="K7" s="40">
        <f t="shared" si="1"/>
        <v>871250.06</v>
      </c>
      <c r="L7" s="40">
        <f t="shared" si="1"/>
        <v>137756.98999999985</v>
      </c>
    </row>
    <row r="8" spans="1:12" ht="17.25" thickTop="1" x14ac:dyDescent="0.3">
      <c r="A8" s="16" t="s">
        <v>66</v>
      </c>
      <c r="B8" s="70" t="s">
        <v>16</v>
      </c>
      <c r="C8" s="5" t="s">
        <v>89</v>
      </c>
      <c r="D8" s="5"/>
      <c r="E8" s="5"/>
      <c r="F8" s="8">
        <v>50166.879999999997</v>
      </c>
      <c r="G8" s="8">
        <v>12000</v>
      </c>
      <c r="H8" s="8">
        <f>F8+G8</f>
        <v>62166.879999999997</v>
      </c>
      <c r="I8" s="8">
        <v>63858.43</v>
      </c>
      <c r="J8" s="8">
        <f>I8-K8</f>
        <v>0</v>
      </c>
      <c r="K8" s="8">
        <v>63858.43</v>
      </c>
      <c r="L8" s="8">
        <f>H8-I8</f>
        <v>-1691.5500000000029</v>
      </c>
    </row>
    <row r="9" spans="1:12" x14ac:dyDescent="0.3">
      <c r="A9" s="16" t="s">
        <v>82</v>
      </c>
      <c r="B9" s="70" t="s">
        <v>17</v>
      </c>
      <c r="C9" s="5" t="s">
        <v>15</v>
      </c>
      <c r="D9" s="5"/>
      <c r="E9" s="5"/>
      <c r="F9" s="8">
        <v>2000</v>
      </c>
      <c r="G9" s="8">
        <v>0</v>
      </c>
      <c r="H9" s="8">
        <f t="shared" ref="H9:H30" si="2">F9+G9</f>
        <v>2000</v>
      </c>
      <c r="I9" s="8">
        <v>1545.57</v>
      </c>
      <c r="J9" s="8">
        <f t="shared" ref="J9:J30" si="3">I9-K9</f>
        <v>0</v>
      </c>
      <c r="K9" s="8">
        <v>1545.57</v>
      </c>
      <c r="L9" s="8">
        <f t="shared" ref="L9:L30" si="4">H9-I9</f>
        <v>454.43000000000006</v>
      </c>
    </row>
    <row r="10" spans="1:12" x14ac:dyDescent="0.3">
      <c r="A10" s="16" t="s">
        <v>67</v>
      </c>
      <c r="B10" s="70" t="s">
        <v>107</v>
      </c>
      <c r="C10" s="5" t="s">
        <v>108</v>
      </c>
      <c r="D10" s="5"/>
      <c r="E10" s="5"/>
      <c r="F10" s="8">
        <v>1250</v>
      </c>
      <c r="G10" s="8">
        <v>424.95</v>
      </c>
      <c r="H10" s="8">
        <f t="shared" si="2"/>
        <v>1674.95</v>
      </c>
      <c r="I10" s="8">
        <v>1719.48</v>
      </c>
      <c r="J10" s="8">
        <f t="shared" si="3"/>
        <v>0</v>
      </c>
      <c r="K10" s="8">
        <v>1719.48</v>
      </c>
      <c r="L10" s="8">
        <f t="shared" si="4"/>
        <v>-44.529999999999973</v>
      </c>
    </row>
    <row r="11" spans="1:12" x14ac:dyDescent="0.3">
      <c r="A11" s="16"/>
      <c r="B11" s="70" t="s">
        <v>114</v>
      </c>
      <c r="C11" s="5" t="s">
        <v>208</v>
      </c>
      <c r="D11" s="5"/>
      <c r="E11" s="5"/>
      <c r="F11" s="8">
        <v>9000</v>
      </c>
      <c r="G11" s="8">
        <v>0</v>
      </c>
      <c r="H11" s="8">
        <f t="shared" si="2"/>
        <v>9000</v>
      </c>
      <c r="I11" s="8">
        <v>3527.62</v>
      </c>
      <c r="J11" s="8">
        <f t="shared" si="3"/>
        <v>299.67000000000007</v>
      </c>
      <c r="K11" s="8">
        <v>3227.95</v>
      </c>
      <c r="L11" s="8">
        <f t="shared" si="4"/>
        <v>5472.38</v>
      </c>
    </row>
    <row r="12" spans="1:12" x14ac:dyDescent="0.3">
      <c r="B12" s="70" t="s">
        <v>21</v>
      </c>
      <c r="C12" s="5" t="s">
        <v>20</v>
      </c>
      <c r="D12" s="5"/>
      <c r="E12" s="5"/>
      <c r="F12" s="8">
        <v>10000</v>
      </c>
      <c r="G12" s="8">
        <v>0</v>
      </c>
      <c r="H12" s="8">
        <f t="shared" si="2"/>
        <v>10000</v>
      </c>
      <c r="I12" s="8">
        <v>8787.32</v>
      </c>
      <c r="J12" s="8">
        <f t="shared" si="3"/>
        <v>385.53999999999905</v>
      </c>
      <c r="K12" s="8">
        <v>8401.7800000000007</v>
      </c>
      <c r="L12" s="8">
        <f t="shared" si="4"/>
        <v>1212.6800000000003</v>
      </c>
    </row>
    <row r="13" spans="1:12" x14ac:dyDescent="0.3">
      <c r="B13" s="70" t="s">
        <v>79</v>
      </c>
      <c r="C13" s="5" t="s">
        <v>80</v>
      </c>
      <c r="D13" s="5"/>
      <c r="E13" s="5"/>
      <c r="F13" s="8">
        <v>2500</v>
      </c>
      <c r="G13" s="8">
        <v>0</v>
      </c>
      <c r="H13" s="8">
        <f t="shared" si="2"/>
        <v>2500</v>
      </c>
      <c r="I13" s="8">
        <v>994.11</v>
      </c>
      <c r="J13" s="8">
        <f t="shared" si="3"/>
        <v>0</v>
      </c>
      <c r="K13" s="8">
        <v>994.11</v>
      </c>
      <c r="L13" s="8">
        <f t="shared" si="4"/>
        <v>1505.8899999999999</v>
      </c>
    </row>
    <row r="14" spans="1:12" x14ac:dyDescent="0.3">
      <c r="B14" s="70" t="s">
        <v>18</v>
      </c>
      <c r="C14" s="5" t="s">
        <v>19</v>
      </c>
      <c r="D14" s="5"/>
      <c r="E14" s="5"/>
      <c r="F14" s="8">
        <v>20000</v>
      </c>
      <c r="G14" s="8">
        <v>0</v>
      </c>
      <c r="H14" s="8">
        <f t="shared" si="2"/>
        <v>20000</v>
      </c>
      <c r="I14" s="8">
        <v>2617.94</v>
      </c>
      <c r="J14" s="8">
        <f t="shared" si="3"/>
        <v>0</v>
      </c>
      <c r="K14" s="8">
        <v>2617.94</v>
      </c>
      <c r="L14" s="8">
        <f t="shared" si="4"/>
        <v>17382.060000000001</v>
      </c>
    </row>
    <row r="15" spans="1:12" x14ac:dyDescent="0.3">
      <c r="B15" s="70" t="s">
        <v>203</v>
      </c>
      <c r="C15" s="5" t="s">
        <v>204</v>
      </c>
      <c r="D15" s="5"/>
      <c r="E15" s="5"/>
      <c r="F15" s="8">
        <v>0</v>
      </c>
      <c r="G15" s="8">
        <v>19411.919999999998</v>
      </c>
      <c r="H15" s="8">
        <f t="shared" si="2"/>
        <v>19411.919999999998</v>
      </c>
      <c r="I15" s="8">
        <v>40072.980000000003</v>
      </c>
      <c r="J15" s="8">
        <f t="shared" si="3"/>
        <v>3023.9800000000032</v>
      </c>
      <c r="K15" s="8">
        <v>37049</v>
      </c>
      <c r="L15" s="8">
        <f t="shared" si="4"/>
        <v>-20661.060000000005</v>
      </c>
    </row>
    <row r="16" spans="1:12" x14ac:dyDescent="0.3">
      <c r="B16" s="70" t="s">
        <v>37</v>
      </c>
      <c r="C16" s="5" t="s">
        <v>90</v>
      </c>
      <c r="D16" s="5"/>
      <c r="E16" s="5"/>
      <c r="F16" s="8">
        <v>7500</v>
      </c>
      <c r="G16" s="8">
        <v>0</v>
      </c>
      <c r="H16" s="8">
        <f t="shared" si="2"/>
        <v>7500</v>
      </c>
      <c r="I16" s="8">
        <v>7957.97</v>
      </c>
      <c r="J16" s="8">
        <f t="shared" si="3"/>
        <v>738.68000000000029</v>
      </c>
      <c r="K16" s="8">
        <v>7219.29</v>
      </c>
      <c r="L16" s="8">
        <f t="shared" si="4"/>
        <v>-457.97000000000025</v>
      </c>
    </row>
    <row r="17" spans="2:12" x14ac:dyDescent="0.3">
      <c r="B17" s="70" t="s">
        <v>10</v>
      </c>
      <c r="C17" s="5" t="s">
        <v>9</v>
      </c>
      <c r="D17" s="5"/>
      <c r="E17" s="5"/>
      <c r="F17" s="8">
        <v>1250</v>
      </c>
      <c r="G17" s="8">
        <v>0</v>
      </c>
      <c r="H17" s="8">
        <f t="shared" si="2"/>
        <v>1250</v>
      </c>
      <c r="I17" s="8">
        <v>1086.25</v>
      </c>
      <c r="J17" s="8">
        <f t="shared" si="3"/>
        <v>537.66999999999996</v>
      </c>
      <c r="K17" s="8">
        <v>548.58000000000004</v>
      </c>
      <c r="L17" s="8">
        <f t="shared" si="4"/>
        <v>163.75</v>
      </c>
    </row>
    <row r="18" spans="2:12" x14ac:dyDescent="0.3">
      <c r="B18" s="70" t="s">
        <v>22</v>
      </c>
      <c r="C18" s="5" t="s">
        <v>91</v>
      </c>
      <c r="D18" s="5"/>
      <c r="E18" s="5"/>
      <c r="F18" s="8">
        <v>3000</v>
      </c>
      <c r="G18" s="8">
        <v>0</v>
      </c>
      <c r="H18" s="8">
        <f t="shared" si="2"/>
        <v>3000</v>
      </c>
      <c r="I18" s="8">
        <v>9951.64</v>
      </c>
      <c r="J18" s="8">
        <f t="shared" si="3"/>
        <v>0</v>
      </c>
      <c r="K18" s="8">
        <v>9951.64</v>
      </c>
      <c r="L18" s="8">
        <f t="shared" si="4"/>
        <v>-6951.6399999999994</v>
      </c>
    </row>
    <row r="19" spans="2:12" x14ac:dyDescent="0.3">
      <c r="B19" s="70" t="s">
        <v>31</v>
      </c>
      <c r="C19" s="5" t="s">
        <v>32</v>
      </c>
      <c r="D19" s="5"/>
      <c r="E19" s="5"/>
      <c r="F19" s="8">
        <v>18000</v>
      </c>
      <c r="G19" s="8">
        <v>0</v>
      </c>
      <c r="H19" s="8">
        <f t="shared" si="2"/>
        <v>18000</v>
      </c>
      <c r="I19" s="8">
        <v>4248.21</v>
      </c>
      <c r="J19" s="8">
        <f t="shared" si="3"/>
        <v>89.739999999999782</v>
      </c>
      <c r="K19" s="8">
        <v>4158.47</v>
      </c>
      <c r="L19" s="8">
        <f t="shared" si="4"/>
        <v>13751.79</v>
      </c>
    </row>
    <row r="20" spans="2:12" x14ac:dyDescent="0.3">
      <c r="B20" s="70" t="s">
        <v>23</v>
      </c>
      <c r="C20" s="5" t="s">
        <v>92</v>
      </c>
      <c r="D20" s="5"/>
      <c r="E20" s="5"/>
      <c r="F20" s="8">
        <v>0</v>
      </c>
      <c r="G20" s="8">
        <v>0</v>
      </c>
      <c r="H20" s="8">
        <f t="shared" si="2"/>
        <v>0</v>
      </c>
      <c r="I20" s="8"/>
      <c r="J20" s="8">
        <f t="shared" si="3"/>
        <v>0</v>
      </c>
      <c r="K20" s="8">
        <v>0</v>
      </c>
      <c r="L20" s="8">
        <f t="shared" si="4"/>
        <v>0</v>
      </c>
    </row>
    <row r="21" spans="2:12" x14ac:dyDescent="0.3">
      <c r="B21" s="70" t="s">
        <v>39</v>
      </c>
      <c r="C21" s="5" t="s">
        <v>38</v>
      </c>
      <c r="D21" s="5"/>
      <c r="E21" s="5"/>
      <c r="F21" s="8">
        <v>6500</v>
      </c>
      <c r="G21" s="8">
        <v>10000</v>
      </c>
      <c r="H21" s="8">
        <f t="shared" si="2"/>
        <v>16500</v>
      </c>
      <c r="I21" s="8">
        <v>23028.23</v>
      </c>
      <c r="J21" s="8">
        <f t="shared" si="3"/>
        <v>98.119999999998981</v>
      </c>
      <c r="K21" s="8">
        <v>22930.11</v>
      </c>
      <c r="L21" s="8">
        <f t="shared" si="4"/>
        <v>-6528.23</v>
      </c>
    </row>
    <row r="22" spans="2:12" x14ac:dyDescent="0.3">
      <c r="B22" s="70" t="s">
        <v>140</v>
      </c>
      <c r="C22" s="5" t="s">
        <v>141</v>
      </c>
      <c r="D22" s="5"/>
      <c r="E22" s="5"/>
      <c r="F22" s="84">
        <v>0</v>
      </c>
      <c r="G22" s="8">
        <v>3494</v>
      </c>
      <c r="H22" s="8">
        <f t="shared" si="2"/>
        <v>3494</v>
      </c>
      <c r="I22" s="8">
        <v>18749.189999999999</v>
      </c>
      <c r="J22" s="8">
        <f t="shared" si="3"/>
        <v>3289.1899999999987</v>
      </c>
      <c r="K22" s="8">
        <v>15460</v>
      </c>
      <c r="L22" s="8">
        <f t="shared" si="4"/>
        <v>-15255.189999999999</v>
      </c>
    </row>
    <row r="23" spans="2:12" x14ac:dyDescent="0.3">
      <c r="B23" s="70" t="s">
        <v>51</v>
      </c>
      <c r="C23" s="5" t="s">
        <v>52</v>
      </c>
      <c r="D23" s="5"/>
      <c r="E23" s="5"/>
      <c r="F23" s="8">
        <v>8279.1299999999992</v>
      </c>
      <c r="G23" s="8">
        <v>0</v>
      </c>
      <c r="H23" s="8">
        <f t="shared" si="2"/>
        <v>8279.1299999999992</v>
      </c>
      <c r="I23" s="8">
        <v>5068.3900000000003</v>
      </c>
      <c r="J23" s="8">
        <f t="shared" si="3"/>
        <v>0</v>
      </c>
      <c r="K23" s="8">
        <v>5068.3900000000003</v>
      </c>
      <c r="L23" s="8">
        <f t="shared" si="4"/>
        <v>3210.7399999999989</v>
      </c>
    </row>
    <row r="24" spans="2:12" x14ac:dyDescent="0.3">
      <c r="B24" s="69" t="s">
        <v>24</v>
      </c>
      <c r="C24" s="6" t="s">
        <v>110</v>
      </c>
      <c r="D24" s="5"/>
      <c r="E24" s="6"/>
      <c r="F24" s="8">
        <v>588891.09</v>
      </c>
      <c r="G24" s="8">
        <f>404534.41+25430.16</f>
        <v>429964.56999999995</v>
      </c>
      <c r="H24" s="8">
        <f t="shared" si="2"/>
        <v>1018855.6599999999</v>
      </c>
      <c r="I24" s="8">
        <v>930000.18</v>
      </c>
      <c r="J24" s="8">
        <f t="shared" si="3"/>
        <v>335527.79000000004</v>
      </c>
      <c r="K24" s="8">
        <v>594472.39</v>
      </c>
      <c r="L24" s="8">
        <f t="shared" si="4"/>
        <v>88855.479999999865</v>
      </c>
    </row>
    <row r="25" spans="2:12" x14ac:dyDescent="0.3">
      <c r="B25" s="70" t="s">
        <v>27</v>
      </c>
      <c r="C25" s="5" t="s">
        <v>111</v>
      </c>
      <c r="D25" s="5"/>
      <c r="E25" s="5"/>
      <c r="F25" s="8">
        <v>88270.59</v>
      </c>
      <c r="G25" s="8">
        <v>29859.27</v>
      </c>
      <c r="H25" s="8">
        <f t="shared" si="2"/>
        <v>118129.86</v>
      </c>
      <c r="I25" s="8">
        <v>82457.149999999994</v>
      </c>
      <c r="J25" s="8">
        <f t="shared" si="3"/>
        <v>19564.969999999994</v>
      </c>
      <c r="K25" s="8">
        <v>62892.18</v>
      </c>
      <c r="L25" s="8">
        <f t="shared" si="4"/>
        <v>35672.710000000006</v>
      </c>
    </row>
    <row r="26" spans="2:12" x14ac:dyDescent="0.3">
      <c r="B26" s="70" t="s">
        <v>35</v>
      </c>
      <c r="C26" s="5" t="s">
        <v>25</v>
      </c>
      <c r="D26" s="5"/>
      <c r="E26" s="5"/>
      <c r="F26" s="8">
        <v>500</v>
      </c>
      <c r="G26" s="8">
        <v>0</v>
      </c>
      <c r="H26" s="8">
        <f t="shared" si="2"/>
        <v>500</v>
      </c>
      <c r="I26" s="8">
        <v>207.55</v>
      </c>
      <c r="J26" s="8">
        <f t="shared" si="3"/>
        <v>0</v>
      </c>
      <c r="K26" s="8">
        <v>207.55</v>
      </c>
      <c r="L26" s="8">
        <f t="shared" si="4"/>
        <v>292.45</v>
      </c>
    </row>
    <row r="27" spans="2:12" x14ac:dyDescent="0.3">
      <c r="B27" s="70" t="s">
        <v>36</v>
      </c>
      <c r="C27" s="5" t="s">
        <v>26</v>
      </c>
      <c r="D27" s="5"/>
      <c r="E27" s="5"/>
      <c r="F27" s="8">
        <v>3000</v>
      </c>
      <c r="G27" s="8">
        <v>0</v>
      </c>
      <c r="H27" s="8">
        <f t="shared" si="2"/>
        <v>3000</v>
      </c>
      <c r="I27" s="8">
        <v>1524.3</v>
      </c>
      <c r="J27" s="8">
        <f t="shared" si="3"/>
        <v>0</v>
      </c>
      <c r="K27" s="8">
        <v>1524.3</v>
      </c>
      <c r="L27" s="8">
        <f t="shared" si="4"/>
        <v>1475.7</v>
      </c>
    </row>
    <row r="28" spans="2:12" x14ac:dyDescent="0.3">
      <c r="B28" s="70" t="s">
        <v>33</v>
      </c>
      <c r="C28" s="5" t="s">
        <v>29</v>
      </c>
      <c r="D28" s="5"/>
      <c r="E28" s="5"/>
      <c r="F28" s="8">
        <v>600</v>
      </c>
      <c r="G28" s="8">
        <v>0</v>
      </c>
      <c r="H28" s="8">
        <f t="shared" si="2"/>
        <v>600</v>
      </c>
      <c r="I28" s="8">
        <v>542.25</v>
      </c>
      <c r="J28" s="8">
        <f t="shared" si="3"/>
        <v>0</v>
      </c>
      <c r="K28" s="8">
        <v>542.25</v>
      </c>
      <c r="L28" s="8">
        <f t="shared" si="4"/>
        <v>57.75</v>
      </c>
    </row>
    <row r="29" spans="2:12" x14ac:dyDescent="0.3">
      <c r="B29" s="70" t="s">
        <v>34</v>
      </c>
      <c r="C29" s="5" t="s">
        <v>30</v>
      </c>
      <c r="D29" s="5"/>
      <c r="E29" s="5"/>
      <c r="F29" s="8">
        <v>4500</v>
      </c>
      <c r="G29" s="8">
        <v>0</v>
      </c>
      <c r="H29" s="8">
        <f t="shared" si="2"/>
        <v>4500</v>
      </c>
      <c r="I29" s="8">
        <v>715.83</v>
      </c>
      <c r="J29" s="8">
        <f t="shared" si="3"/>
        <v>0</v>
      </c>
      <c r="K29" s="8">
        <v>715.83</v>
      </c>
      <c r="L29" s="8">
        <f t="shared" si="4"/>
        <v>3784.17</v>
      </c>
    </row>
    <row r="30" spans="2:12" x14ac:dyDescent="0.3">
      <c r="B30" s="69" t="s">
        <v>28</v>
      </c>
      <c r="C30" s="6" t="s">
        <v>112</v>
      </c>
      <c r="D30" s="6"/>
      <c r="E30" s="6"/>
      <c r="F30" s="8">
        <v>31000</v>
      </c>
      <c r="G30" s="8">
        <v>11200</v>
      </c>
      <c r="H30" s="8">
        <f t="shared" si="2"/>
        <v>42200</v>
      </c>
      <c r="I30" s="8">
        <v>26144.82</v>
      </c>
      <c r="J30" s="8">
        <f t="shared" si="3"/>
        <v>0</v>
      </c>
      <c r="K30" s="8">
        <v>26144.82</v>
      </c>
      <c r="L30" s="8">
        <f t="shared" si="4"/>
        <v>16055.18</v>
      </c>
    </row>
    <row r="32" spans="2:12" ht="14.25" customHeight="1" x14ac:dyDescent="0.3"/>
    <row r="33" spans="2:7" ht="15" customHeight="1" x14ac:dyDescent="0.3">
      <c r="B33" s="16"/>
    </row>
    <row r="34" spans="2:7" ht="15" customHeight="1" x14ac:dyDescent="0.3">
      <c r="B34" s="16"/>
    </row>
    <row r="35" spans="2:7" ht="15" customHeight="1" x14ac:dyDescent="0.3">
      <c r="B35" s="16"/>
      <c r="C35" s="34"/>
      <c r="D35" s="34"/>
    </row>
    <row r="38" spans="2:7" ht="9" customHeight="1" x14ac:dyDescent="0.3"/>
    <row r="45" spans="2:7" x14ac:dyDescent="0.3">
      <c r="G45" s="18"/>
    </row>
    <row r="59" spans="1:19" s="51" customForma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s="51" customForma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s="51" customForma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s="51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s="51" customForma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s="51" customForma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s="51" customFormat="1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s="51" customFormat="1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s="51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s="51" customForma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s="51" customForma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s="51" customFormat="1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s="51" customFormat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s="51" customForma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s="51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s="51" customFormat="1" x14ac:dyDescent="0.3"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s="51" customFormat="1" x14ac:dyDescent="0.3"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s="51" customFormat="1" x14ac:dyDescent="0.3"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s="51" customFormat="1" x14ac:dyDescent="0.3"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51" customFormat="1" x14ac:dyDescent="0.3"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s="51" customFormat="1" x14ac:dyDescent="0.3"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s="51" customFormat="1" x14ac:dyDescent="0.3"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6:20" s="51" customFormat="1" x14ac:dyDescent="0.3"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6:20" s="51" customFormat="1" x14ac:dyDescent="0.3"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6:20" s="51" customFormat="1" x14ac:dyDescent="0.3"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6:20" x14ac:dyDescent="0.3">
      <c r="T84" s="51"/>
    </row>
    <row r="85" spans="6:20" x14ac:dyDescent="0.3">
      <c r="T85" s="51"/>
    </row>
    <row r="86" spans="6:20" x14ac:dyDescent="0.3">
      <c r="T86" s="51"/>
    </row>
  </sheetData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83"/>
  <sheetViews>
    <sheetView showGridLines="0" view="pageLayout" zoomScaleNormal="70" workbookViewId="0">
      <selection activeCell="A3" sqref="A3"/>
    </sheetView>
  </sheetViews>
  <sheetFormatPr defaultColWidth="11.33203125" defaultRowHeight="16.5" x14ac:dyDescent="0.3"/>
  <cols>
    <col min="1" max="1" width="12.5546875" customWidth="1"/>
    <col min="2" max="2" width="12.6640625" customWidth="1"/>
    <col min="3" max="3" width="1.33203125" customWidth="1"/>
    <col min="4" max="4" width="24.77734375" customWidth="1"/>
    <col min="5" max="5" width="17.6640625" customWidth="1"/>
    <col min="6" max="7" width="15.33203125" customWidth="1"/>
    <col min="8" max="8" width="14.109375" customWidth="1"/>
    <col min="9" max="9" width="16.6640625" customWidth="1"/>
    <col min="10" max="10" width="13.33203125" customWidth="1"/>
    <col min="11" max="11" width="14.21875" customWidth="1"/>
    <col min="12" max="12" width="14.33203125" customWidth="1"/>
  </cols>
  <sheetData>
    <row r="2" spans="1:12" ht="17.25" thickBot="1" x14ac:dyDescent="0.35"/>
    <row r="3" spans="1:12" s="171" customFormat="1" ht="24.75" customHeight="1" thickBot="1" x14ac:dyDescent="0.35">
      <c r="A3" s="180" t="s">
        <v>46</v>
      </c>
      <c r="B3" s="181"/>
      <c r="C3" s="181"/>
      <c r="D3" s="181"/>
      <c r="E3" s="181"/>
      <c r="F3" s="183">
        <f t="shared" ref="F3:L3" si="0">F7</f>
        <v>430</v>
      </c>
      <c r="G3" s="183">
        <f t="shared" si="0"/>
        <v>-280</v>
      </c>
      <c r="H3" s="183">
        <f t="shared" si="0"/>
        <v>150</v>
      </c>
      <c r="I3" s="183">
        <f t="shared" si="0"/>
        <v>145.31</v>
      </c>
      <c r="J3" s="183">
        <f t="shared" si="0"/>
        <v>0</v>
      </c>
      <c r="K3" s="183">
        <f t="shared" si="0"/>
        <v>145.31</v>
      </c>
      <c r="L3" s="183">
        <f t="shared" si="0"/>
        <v>4.6899999999999977</v>
      </c>
    </row>
    <row r="4" spans="1:12" ht="17.25" thickBot="1" x14ac:dyDescent="0.35"/>
    <row r="5" spans="1:12" s="36" customFormat="1" ht="52.5" customHeight="1" thickBot="1" x14ac:dyDescent="0.35">
      <c r="A5" s="68" t="s">
        <v>64</v>
      </c>
      <c r="B5" s="47" t="s">
        <v>65</v>
      </c>
      <c r="C5" s="71"/>
      <c r="D5" s="72" t="s">
        <v>3</v>
      </c>
      <c r="E5" s="73"/>
      <c r="F5" s="60" t="s">
        <v>135</v>
      </c>
      <c r="G5" s="114" t="s">
        <v>120</v>
      </c>
      <c r="H5" s="78" t="s">
        <v>121</v>
      </c>
      <c r="I5" s="95" t="s">
        <v>202</v>
      </c>
      <c r="J5" s="78" t="s">
        <v>125</v>
      </c>
      <c r="K5" s="96" t="s">
        <v>139</v>
      </c>
      <c r="L5" s="97" t="s">
        <v>124</v>
      </c>
    </row>
    <row r="7" spans="1:12" ht="17.25" thickBot="1" x14ac:dyDescent="0.35">
      <c r="A7" s="48">
        <v>462</v>
      </c>
      <c r="B7" s="37">
        <v>3</v>
      </c>
      <c r="C7" s="38" t="s">
        <v>59</v>
      </c>
      <c r="D7" s="39"/>
      <c r="E7" s="49"/>
      <c r="F7" s="40">
        <f>SUM(F8:F11)</f>
        <v>430</v>
      </c>
      <c r="G7" s="40">
        <f t="shared" ref="G7:I7" si="1">SUM(G8:G11)</f>
        <v>-280</v>
      </c>
      <c r="H7" s="40">
        <f t="shared" si="1"/>
        <v>150</v>
      </c>
      <c r="I7" s="40">
        <f t="shared" si="1"/>
        <v>145.31</v>
      </c>
      <c r="J7" s="40">
        <f t="shared" ref="J7:L7" si="2">SUM(J8:J11)</f>
        <v>0</v>
      </c>
      <c r="K7" s="40">
        <f t="shared" si="2"/>
        <v>145.31</v>
      </c>
      <c r="L7" s="40">
        <f t="shared" si="2"/>
        <v>4.6899999999999977</v>
      </c>
    </row>
    <row r="8" spans="1:12" ht="17.25" thickTop="1" x14ac:dyDescent="0.3">
      <c r="A8" s="16" t="s">
        <v>66</v>
      </c>
      <c r="B8" s="70" t="s">
        <v>68</v>
      </c>
      <c r="C8" s="5" t="s">
        <v>93</v>
      </c>
      <c r="D8" s="5"/>
      <c r="E8" s="5"/>
      <c r="F8" s="15">
        <f>25+10+15</f>
        <v>50</v>
      </c>
      <c r="G8" s="15">
        <v>-50</v>
      </c>
      <c r="H8" s="15">
        <f>F8+G8</f>
        <v>0</v>
      </c>
      <c r="I8" s="8">
        <v>0</v>
      </c>
      <c r="J8" s="8">
        <f>I8-K8</f>
        <v>0</v>
      </c>
      <c r="K8" s="8">
        <v>0</v>
      </c>
      <c r="L8" s="8">
        <f>H8-I8</f>
        <v>0</v>
      </c>
    </row>
    <row r="9" spans="1:12" x14ac:dyDescent="0.3">
      <c r="A9" s="16" t="s">
        <v>82</v>
      </c>
      <c r="B9" s="70">
        <v>35900</v>
      </c>
      <c r="C9" s="5" t="s">
        <v>69</v>
      </c>
      <c r="D9" s="5"/>
      <c r="E9" s="5"/>
      <c r="F9" s="15">
        <f>250+30+100</f>
        <v>380</v>
      </c>
      <c r="G9" s="15">
        <v>-230</v>
      </c>
      <c r="H9" s="15">
        <f>F9+G9</f>
        <v>150</v>
      </c>
      <c r="I9" s="8">
        <v>145.31</v>
      </c>
      <c r="J9" s="8">
        <f>I9-K9</f>
        <v>0</v>
      </c>
      <c r="K9" s="8">
        <v>145.31</v>
      </c>
      <c r="L9" s="8">
        <f>H9-I9</f>
        <v>4.6899999999999977</v>
      </c>
    </row>
    <row r="10" spans="1:12" x14ac:dyDescent="0.3">
      <c r="A10" s="16" t="s">
        <v>67</v>
      </c>
      <c r="B10" s="90"/>
      <c r="C10" s="91"/>
      <c r="D10" s="91"/>
      <c r="E10" s="91"/>
      <c r="F10" s="92"/>
    </row>
    <row r="11" spans="1:12" ht="17.25" thickBot="1" x14ac:dyDescent="0.35"/>
    <row r="12" spans="1:12" s="101" customFormat="1" ht="25.5" customHeight="1" thickBot="1" x14ac:dyDescent="0.35">
      <c r="A12" s="180" t="s">
        <v>142</v>
      </c>
      <c r="B12" s="181"/>
      <c r="C12" s="181"/>
      <c r="D12" s="181"/>
      <c r="E12" s="185"/>
      <c r="F12" s="183">
        <f t="shared" ref="F12:L12" si="3">F16</f>
        <v>0</v>
      </c>
      <c r="G12" s="183">
        <f t="shared" si="3"/>
        <v>63985.009999999995</v>
      </c>
      <c r="H12" s="183">
        <f t="shared" si="3"/>
        <v>63985.009999999995</v>
      </c>
      <c r="I12" s="183">
        <f t="shared" si="3"/>
        <v>63985.009999999995</v>
      </c>
      <c r="J12" s="183">
        <f t="shared" si="3"/>
        <v>0</v>
      </c>
      <c r="K12" s="183">
        <f t="shared" si="3"/>
        <v>63985.009999999995</v>
      </c>
      <c r="L12" s="183">
        <f t="shared" si="3"/>
        <v>0</v>
      </c>
    </row>
    <row r="13" spans="1:12" ht="15" customHeight="1" thickBot="1" x14ac:dyDescent="0.35"/>
    <row r="14" spans="1:12" ht="51" customHeight="1" thickBot="1" x14ac:dyDescent="0.35">
      <c r="A14" s="68" t="s">
        <v>64</v>
      </c>
      <c r="B14" s="47" t="s">
        <v>65</v>
      </c>
      <c r="C14" s="71"/>
      <c r="D14" s="72" t="s">
        <v>3</v>
      </c>
      <c r="E14" s="113"/>
      <c r="F14" s="60" t="s">
        <v>135</v>
      </c>
      <c r="G14" s="114" t="s">
        <v>120</v>
      </c>
      <c r="H14" s="78" t="s">
        <v>121</v>
      </c>
      <c r="I14" s="95" t="s">
        <v>202</v>
      </c>
      <c r="J14" s="78" t="s">
        <v>125</v>
      </c>
      <c r="K14" s="96" t="s">
        <v>139</v>
      </c>
      <c r="L14" s="97" t="s">
        <v>124</v>
      </c>
    </row>
    <row r="16" spans="1:12" ht="17.25" thickBot="1" x14ac:dyDescent="0.35">
      <c r="A16" s="48">
        <v>462</v>
      </c>
      <c r="B16" s="37">
        <v>4</v>
      </c>
      <c r="C16" s="38" t="s">
        <v>128</v>
      </c>
      <c r="D16" s="39"/>
      <c r="E16" s="40"/>
      <c r="F16" s="40">
        <f>SUM(F17:F18)</f>
        <v>0</v>
      </c>
      <c r="G16" s="40">
        <f>SUM(G17:G18)</f>
        <v>63985.009999999995</v>
      </c>
      <c r="H16" s="40">
        <f t="shared" ref="H16:L16" si="4">SUM(H17:H18)</f>
        <v>63985.009999999995</v>
      </c>
      <c r="I16" s="40">
        <f t="shared" si="4"/>
        <v>63985.009999999995</v>
      </c>
      <c r="J16" s="40">
        <f t="shared" si="4"/>
        <v>0</v>
      </c>
      <c r="K16" s="40">
        <f t="shared" si="4"/>
        <v>63985.009999999995</v>
      </c>
      <c r="L16" s="40">
        <f t="shared" si="4"/>
        <v>0</v>
      </c>
    </row>
    <row r="17" spans="1:12" ht="17.25" thickTop="1" x14ac:dyDescent="0.3">
      <c r="A17" s="16" t="s">
        <v>66</v>
      </c>
      <c r="B17" s="70">
        <v>45390</v>
      </c>
      <c r="C17" s="5" t="s">
        <v>143</v>
      </c>
      <c r="D17" s="5"/>
      <c r="E17" s="15"/>
      <c r="F17" s="15">
        <v>0</v>
      </c>
      <c r="G17" s="8">
        <v>16740.009999999998</v>
      </c>
      <c r="H17" s="8">
        <f>F17+G17</f>
        <v>16740.009999999998</v>
      </c>
      <c r="I17" s="8">
        <v>16740.009999999998</v>
      </c>
      <c r="J17" s="8">
        <v>0</v>
      </c>
      <c r="K17" s="8">
        <v>16740.009999999998</v>
      </c>
      <c r="L17" s="8">
        <v>0</v>
      </c>
    </row>
    <row r="18" spans="1:12" x14ac:dyDescent="0.3">
      <c r="A18" s="16" t="s">
        <v>82</v>
      </c>
      <c r="B18" s="70" t="s">
        <v>144</v>
      </c>
      <c r="C18" s="5" t="s">
        <v>145</v>
      </c>
      <c r="D18" s="5"/>
      <c r="E18" s="15"/>
      <c r="F18" s="15">
        <v>0</v>
      </c>
      <c r="G18" s="8">
        <v>47245</v>
      </c>
      <c r="H18" s="8">
        <f>F18+G18</f>
        <v>47245</v>
      </c>
      <c r="I18" s="8">
        <v>47245</v>
      </c>
      <c r="J18" s="8">
        <f>I18-K18</f>
        <v>0</v>
      </c>
      <c r="K18" s="8">
        <v>47245</v>
      </c>
      <c r="L18" s="8">
        <f>H18-I18</f>
        <v>0</v>
      </c>
    </row>
    <row r="19" spans="1:12" x14ac:dyDescent="0.3">
      <c r="A19" s="16" t="s">
        <v>67</v>
      </c>
      <c r="B19" s="93"/>
      <c r="E19" s="18"/>
      <c r="F19" s="84"/>
      <c r="G19" s="84"/>
    </row>
    <row r="20" spans="1:12" ht="17.25" thickBot="1" x14ac:dyDescent="0.35"/>
    <row r="21" spans="1:12" s="101" customFormat="1" ht="24.75" customHeight="1" thickBot="1" x14ac:dyDescent="0.35">
      <c r="A21" s="180" t="s">
        <v>98</v>
      </c>
      <c r="B21" s="181"/>
      <c r="C21" s="181"/>
      <c r="D21" s="181"/>
      <c r="E21" s="181"/>
      <c r="F21" s="183">
        <f t="shared" ref="F21:L21" si="5">F25</f>
        <v>26500</v>
      </c>
      <c r="G21" s="183">
        <f t="shared" si="5"/>
        <v>23343.59</v>
      </c>
      <c r="H21" s="183">
        <f t="shared" si="5"/>
        <v>49843.59</v>
      </c>
      <c r="I21" s="183">
        <f t="shared" si="5"/>
        <v>49598.57</v>
      </c>
      <c r="J21" s="183">
        <f t="shared" si="5"/>
        <v>0</v>
      </c>
      <c r="K21" s="183">
        <f t="shared" si="5"/>
        <v>49598.57</v>
      </c>
      <c r="L21" s="183">
        <f t="shared" si="5"/>
        <v>245.01999999999816</v>
      </c>
    </row>
    <row r="22" spans="1:12" ht="17.25" thickBot="1" x14ac:dyDescent="0.35"/>
    <row r="23" spans="1:12" ht="53.25" customHeight="1" thickBot="1" x14ac:dyDescent="0.35">
      <c r="A23" s="68" t="s">
        <v>64</v>
      </c>
      <c r="B23" s="47" t="s">
        <v>65</v>
      </c>
      <c r="C23" s="71"/>
      <c r="D23" s="72" t="s">
        <v>3</v>
      </c>
      <c r="E23" s="73"/>
      <c r="F23" s="60" t="s">
        <v>135</v>
      </c>
      <c r="G23" s="114" t="s">
        <v>120</v>
      </c>
      <c r="H23" s="78" t="s">
        <v>121</v>
      </c>
      <c r="I23" s="95" t="s">
        <v>202</v>
      </c>
      <c r="J23" s="78" t="s">
        <v>125</v>
      </c>
      <c r="K23" s="96" t="s">
        <v>139</v>
      </c>
      <c r="L23" s="97" t="s">
        <v>124</v>
      </c>
    </row>
    <row r="25" spans="1:12" ht="17.25" thickBot="1" x14ac:dyDescent="0.35">
      <c r="A25" s="48">
        <v>462</v>
      </c>
      <c r="B25" s="37">
        <v>6</v>
      </c>
      <c r="C25" s="38" t="s">
        <v>60</v>
      </c>
      <c r="D25" s="39"/>
      <c r="E25" s="49"/>
      <c r="F25" s="40">
        <f>SUM(F26:F31)</f>
        <v>26500</v>
      </c>
      <c r="G25" s="40">
        <f t="shared" ref="G25:L25" si="6">SUM(G26:G31)</f>
        <v>23343.59</v>
      </c>
      <c r="H25" s="40">
        <f>SUM(H26:H31)</f>
        <v>49843.59</v>
      </c>
      <c r="I25" s="40">
        <f t="shared" si="6"/>
        <v>49598.57</v>
      </c>
      <c r="J25" s="40">
        <f t="shared" si="6"/>
        <v>0</v>
      </c>
      <c r="K25" s="40">
        <f t="shared" si="6"/>
        <v>49598.57</v>
      </c>
      <c r="L25" s="40">
        <f t="shared" si="6"/>
        <v>245.01999999999816</v>
      </c>
    </row>
    <row r="26" spans="1:12" ht="17.25" thickTop="1" x14ac:dyDescent="0.3">
      <c r="A26" s="16" t="s">
        <v>66</v>
      </c>
      <c r="B26" s="70" t="s">
        <v>146</v>
      </c>
      <c r="C26" s="5" t="s">
        <v>147</v>
      </c>
      <c r="D26" s="5"/>
      <c r="E26" s="5"/>
      <c r="F26" s="15">
        <v>0</v>
      </c>
      <c r="G26" s="15">
        <v>0</v>
      </c>
      <c r="H26" s="15">
        <f t="shared" ref="H26" si="7">F26+G26</f>
        <v>0</v>
      </c>
      <c r="I26" s="8">
        <v>0</v>
      </c>
      <c r="J26" s="8">
        <f t="shared" ref="J26" si="8">I26-K26</f>
        <v>0</v>
      </c>
      <c r="K26" s="8">
        <v>0</v>
      </c>
      <c r="L26" s="8">
        <f t="shared" ref="L26" si="9">H26-I26</f>
        <v>0</v>
      </c>
    </row>
    <row r="27" spans="1:12" x14ac:dyDescent="0.3">
      <c r="A27" s="16" t="s">
        <v>82</v>
      </c>
      <c r="B27" s="70" t="s">
        <v>115</v>
      </c>
      <c r="C27" s="5" t="s">
        <v>116</v>
      </c>
      <c r="D27" s="5"/>
      <c r="E27" s="5"/>
      <c r="F27" s="15">
        <v>500</v>
      </c>
      <c r="G27" s="15">
        <v>0</v>
      </c>
      <c r="H27" s="15">
        <f t="shared" ref="H27:H31" si="10">F27+G27</f>
        <v>500</v>
      </c>
      <c r="I27" s="8">
        <v>0</v>
      </c>
      <c r="J27" s="8">
        <f t="shared" ref="J27:J31" si="11">I27-K27</f>
        <v>0</v>
      </c>
      <c r="K27" s="8">
        <v>0</v>
      </c>
      <c r="L27" s="8">
        <f t="shared" ref="L27:L31" si="12">H27-I27</f>
        <v>500</v>
      </c>
    </row>
    <row r="28" spans="1:12" x14ac:dyDescent="0.3">
      <c r="A28" s="16" t="s">
        <v>67</v>
      </c>
      <c r="B28" s="70" t="s">
        <v>40</v>
      </c>
      <c r="C28" s="5" t="s">
        <v>94</v>
      </c>
      <c r="D28" s="5"/>
      <c r="E28" s="5"/>
      <c r="F28" s="15">
        <v>2000</v>
      </c>
      <c r="G28" s="15">
        <v>0</v>
      </c>
      <c r="H28" s="15">
        <f t="shared" si="10"/>
        <v>2000</v>
      </c>
      <c r="I28" s="8">
        <v>7225.44</v>
      </c>
      <c r="J28" s="8">
        <f t="shared" si="11"/>
        <v>0</v>
      </c>
      <c r="K28" s="8">
        <v>7225.44</v>
      </c>
      <c r="L28" s="8">
        <f t="shared" si="12"/>
        <v>-5225.4399999999996</v>
      </c>
    </row>
    <row r="29" spans="1:12" x14ac:dyDescent="0.3">
      <c r="B29" s="70" t="s">
        <v>41</v>
      </c>
      <c r="C29" s="5" t="s">
        <v>95</v>
      </c>
      <c r="D29" s="5"/>
      <c r="E29" s="5"/>
      <c r="F29" s="15">
        <v>20000</v>
      </c>
      <c r="G29" s="15">
        <v>23343.59</v>
      </c>
      <c r="H29" s="15">
        <f t="shared" si="10"/>
        <v>43343.59</v>
      </c>
      <c r="I29" s="8">
        <v>42073.53</v>
      </c>
      <c r="J29" s="8">
        <f t="shared" si="11"/>
        <v>0</v>
      </c>
      <c r="K29" s="8">
        <v>42073.53</v>
      </c>
      <c r="L29" s="8">
        <f t="shared" si="12"/>
        <v>1270.0599999999977</v>
      </c>
    </row>
    <row r="30" spans="1:12" x14ac:dyDescent="0.3">
      <c r="B30" s="69" t="s">
        <v>42</v>
      </c>
      <c r="C30" s="6" t="s">
        <v>96</v>
      </c>
      <c r="D30" s="5"/>
      <c r="E30" s="6"/>
      <c r="F30" s="15">
        <v>2000</v>
      </c>
      <c r="G30" s="115">
        <v>0</v>
      </c>
      <c r="H30" s="15">
        <f t="shared" si="10"/>
        <v>2000</v>
      </c>
      <c r="I30" s="8">
        <v>299.60000000000002</v>
      </c>
      <c r="J30" s="8">
        <f t="shared" si="11"/>
        <v>0</v>
      </c>
      <c r="K30" s="8">
        <v>299.60000000000002</v>
      </c>
      <c r="L30" s="8">
        <f t="shared" si="12"/>
        <v>1700.4</v>
      </c>
    </row>
    <row r="31" spans="1:12" x14ac:dyDescent="0.3">
      <c r="B31" s="70" t="s">
        <v>43</v>
      </c>
      <c r="C31" s="5" t="s">
        <v>97</v>
      </c>
      <c r="D31" s="5"/>
      <c r="E31" s="5"/>
      <c r="F31" s="15">
        <v>2000</v>
      </c>
      <c r="G31" s="15">
        <v>0</v>
      </c>
      <c r="H31" s="15">
        <f t="shared" si="10"/>
        <v>2000</v>
      </c>
      <c r="I31" s="8">
        <v>0</v>
      </c>
      <c r="J31" s="8">
        <f t="shared" si="11"/>
        <v>0</v>
      </c>
      <c r="K31" s="8">
        <v>0</v>
      </c>
      <c r="L31" s="8">
        <f t="shared" si="12"/>
        <v>2000</v>
      </c>
    </row>
    <row r="38" ht="9" customHeight="1" x14ac:dyDescent="0.3"/>
    <row r="59" spans="1:14" s="51" customForma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51" customForma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51" customForma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51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51" customForma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51" customForma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51" customFormat="1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51" customFormat="1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51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51" customForma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51" customForma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51" customFormat="1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51" customFormat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51" customForma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51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51" customFormat="1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51" customForma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51" customFormat="1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51" customFormat="1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51" customFormat="1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51" customFormat="1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51" customFormat="1" x14ac:dyDescent="0.3"/>
    <row r="81" s="51" customFormat="1" x14ac:dyDescent="0.3"/>
    <row r="82" s="51" customFormat="1" x14ac:dyDescent="0.3"/>
    <row r="83" s="51" customFormat="1" x14ac:dyDescent="0.3"/>
  </sheetData>
  <printOptions horizontalCentered="1"/>
  <pageMargins left="0" right="0" top="0.39370078740157483" bottom="0.39370078740157483" header="0.31496062992125984" footer="0.15748031496062992"/>
  <pageSetup paperSize="9" scale="74" fitToHeight="0" orientation="landscape" r:id="rId1"/>
  <headerFooter>
    <oddFooter>&amp;CLiquidació pressupost 2023 IERMB _ 31/12/2023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7" ma:contentTypeDescription="Crea un document nou" ma:contentTypeScope="" ma:versionID="f6b92cb69c1385554611e5714ab90fa8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838d5588429108ece8d3d3f0cef48d08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CA7B3D-5D03-4CF4-B80A-6DB0FB9B8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4FC4E-2A40-449B-80F6-DE931AB2A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D5DFE-F87B-4D52-973C-8079E4160BB2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1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Cap. 8 Ing. pat -rom.</vt:lpstr>
      <vt:lpstr>Cap. 1 Desp. Personal</vt:lpstr>
      <vt:lpstr>Cap. 2 Desp.Corrents</vt:lpstr>
      <vt:lpstr>Cap. 3-4-6 Df,Tc,Inv</vt:lpstr>
      <vt:lpstr>'Cap. 3 Ing. vendes'!Print_Area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2024-02-28T07:00:19Z</cp:lastPrinted>
  <dcterms:created xsi:type="dcterms:W3CDTF">2011-11-15T15:44:37Z</dcterms:created>
  <dcterms:modified xsi:type="dcterms:W3CDTF">2024-04-08T12:22:21Z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