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Archivos portal de transparència/Per pujar al portal/2025/Abril/"/>
    </mc:Choice>
  </mc:AlternateContent>
  <xr:revisionPtr revIDLastSave="1192" documentId="8_{46A739FE-8BF2-4DAB-A768-A93826BBA0FB}" xr6:coauthVersionLast="47" xr6:coauthVersionMax="47" xr10:uidLastSave="{BDE19DC1-2C80-4160-B346-3DD2E6732DD4}"/>
  <bookViews>
    <workbookView xWindow="-120" yWindow="-120" windowWidth="29040" windowHeight="15840" tabRatio="588" xr2:uid="{00000000-000D-0000-FFFF-FFFF00000000}"/>
  </bookViews>
  <sheets>
    <sheet name="Resum" sheetId="15" r:id="rId1"/>
    <sheet name="Cap. 3 Ing. vendes" sheetId="19" r:id="rId2"/>
    <sheet name="Cap. 4 Ing. Transf.corrents" sheetId="18" r:id="rId3"/>
    <sheet name="Cap. 5,8 Ing. pat-Act.fin" sheetId="17" r:id="rId4"/>
    <sheet name="Cap. 1 Desp. Personal" sheetId="16" r:id="rId5"/>
    <sheet name="Cap. 2 Desp.Corrents" sheetId="11" r:id="rId6"/>
    <sheet name="Cap. 3-4-6 Df,TC,Inv" sheetId="20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7" i="15" l="1"/>
  <c r="H57" i="15"/>
  <c r="N57" i="15"/>
  <c r="H56" i="15" l="1"/>
  <c r="I8" i="18" l="1"/>
  <c r="G75" i="15" l="1"/>
  <c r="G71" i="15"/>
  <c r="G67" i="15"/>
  <c r="I50" i="15"/>
  <c r="F49" i="15"/>
  <c r="I49" i="15" s="1"/>
  <c r="G79" i="15" l="1"/>
  <c r="G84" i="15" s="1"/>
  <c r="I57" i="15"/>
  <c r="G31" i="11" l="1"/>
  <c r="G25" i="11"/>
  <c r="G10" i="16"/>
  <c r="I20" i="20"/>
  <c r="J34" i="20"/>
  <c r="H34" i="20"/>
  <c r="G29" i="20"/>
  <c r="I29" i="20"/>
  <c r="K29" i="20"/>
  <c r="F29" i="20"/>
  <c r="H28" i="19"/>
  <c r="K25" i="19"/>
  <c r="J25" i="19" s="1"/>
  <c r="K23" i="19"/>
  <c r="K22" i="19"/>
  <c r="K10" i="19"/>
  <c r="I10" i="19"/>
  <c r="H25" i="19"/>
  <c r="L25" i="19" s="1"/>
  <c r="I23" i="19"/>
  <c r="I22" i="19"/>
  <c r="K12" i="19"/>
  <c r="I12" i="19"/>
  <c r="K32" i="18"/>
  <c r="I32" i="18"/>
  <c r="I29" i="18"/>
  <c r="I30" i="18"/>
  <c r="K29" i="18"/>
  <c r="L34" i="20" l="1"/>
  <c r="K9" i="18"/>
  <c r="K8" i="18" s="1"/>
  <c r="I9" i="18"/>
  <c r="I19" i="19"/>
  <c r="J21" i="18"/>
  <c r="J20" i="18" s="1"/>
  <c r="H21" i="18"/>
  <c r="L21" i="18" s="1"/>
  <c r="L20" i="18" s="1"/>
  <c r="K20" i="18"/>
  <c r="I20" i="18"/>
  <c r="G20" i="18"/>
  <c r="F20" i="18"/>
  <c r="G30" i="18"/>
  <c r="G9" i="18"/>
  <c r="J24" i="19"/>
  <c r="J26" i="19"/>
  <c r="H24" i="19"/>
  <c r="L24" i="19" s="1"/>
  <c r="J19" i="19" l="1"/>
  <c r="H19" i="19"/>
  <c r="L19" i="19" s="1"/>
  <c r="H20" i="18"/>
  <c r="H11" i="18" l="1"/>
  <c r="L11" i="18" s="1"/>
  <c r="J11" i="18"/>
  <c r="L13" i="19" l="1"/>
  <c r="J13" i="19"/>
  <c r="J20" i="11" l="1"/>
  <c r="J21" i="11"/>
  <c r="G22" i="18"/>
  <c r="I22" i="18"/>
  <c r="K22" i="18"/>
  <c r="F22" i="18"/>
  <c r="J23" i="18"/>
  <c r="H23" i="18"/>
  <c r="L23" i="18" s="1"/>
  <c r="H25" i="18"/>
  <c r="J25" i="18"/>
  <c r="J19" i="20"/>
  <c r="K18" i="20"/>
  <c r="K8" i="20"/>
  <c r="I8" i="20"/>
  <c r="G8" i="20"/>
  <c r="F8" i="20"/>
  <c r="H19" i="20"/>
  <c r="G18" i="20"/>
  <c r="I18" i="20"/>
  <c r="F18" i="20"/>
  <c r="J10" i="18"/>
  <c r="H10" i="18"/>
  <c r="H12" i="18"/>
  <c r="L19" i="20" l="1"/>
  <c r="L10" i="18"/>
  <c r="L25" i="18"/>
  <c r="J22" i="11" l="1"/>
  <c r="J23" i="11"/>
  <c r="J24" i="11"/>
  <c r="J25" i="11"/>
  <c r="J26" i="11"/>
  <c r="K31" i="18"/>
  <c r="G11" i="19"/>
  <c r="J36" i="18"/>
  <c r="J35" i="18" s="1"/>
  <c r="H36" i="18"/>
  <c r="K35" i="18"/>
  <c r="I35" i="18"/>
  <c r="G35" i="18"/>
  <c r="F35" i="18"/>
  <c r="F31" i="18"/>
  <c r="G31" i="18"/>
  <c r="J34" i="18"/>
  <c r="H34" i="18"/>
  <c r="K28" i="18"/>
  <c r="J12" i="18"/>
  <c r="G8" i="18"/>
  <c r="F8" i="18"/>
  <c r="J9" i="18"/>
  <c r="H9" i="18"/>
  <c r="H35" i="18" l="1"/>
  <c r="L36" i="18"/>
  <c r="L35" i="18" s="1"/>
  <c r="I31" i="18"/>
  <c r="L12" i="18"/>
  <c r="K30" i="18"/>
  <c r="J8" i="18"/>
  <c r="L34" i="18"/>
  <c r="H8" i="18"/>
  <c r="L9" i="18"/>
  <c r="L8" i="18" l="1"/>
  <c r="J10" i="19"/>
  <c r="H10" i="19"/>
  <c r="J12" i="19"/>
  <c r="G14" i="20"/>
  <c r="E25" i="15" s="1"/>
  <c r="K14" i="20"/>
  <c r="I25" i="15" s="1"/>
  <c r="G25" i="20"/>
  <c r="E26" i="15" s="1"/>
  <c r="I25" i="20"/>
  <c r="G26" i="15" s="1"/>
  <c r="J33" i="20"/>
  <c r="H33" i="20"/>
  <c r="J32" i="20"/>
  <c r="H32" i="20"/>
  <c r="J31" i="20"/>
  <c r="H31" i="20"/>
  <c r="J30" i="20"/>
  <c r="H30" i="20"/>
  <c r="K25" i="20"/>
  <c r="I26" i="15" s="1"/>
  <c r="J20" i="20"/>
  <c r="J18" i="20" s="1"/>
  <c r="H20" i="20"/>
  <c r="H18" i="20" s="1"/>
  <c r="G4" i="20"/>
  <c r="E24" i="15" s="1"/>
  <c r="I4" i="20"/>
  <c r="G24" i="15" s="1"/>
  <c r="K4" i="20"/>
  <c r="I24" i="15" s="1"/>
  <c r="H10" i="20"/>
  <c r="J10" i="20"/>
  <c r="J9" i="20"/>
  <c r="H9" i="20"/>
  <c r="G8" i="11"/>
  <c r="G4" i="11" s="1"/>
  <c r="E23" i="15" s="1"/>
  <c r="I8" i="11"/>
  <c r="I4" i="11" s="1"/>
  <c r="G23" i="15" s="1"/>
  <c r="K8" i="11"/>
  <c r="K4" i="11" s="1"/>
  <c r="I23" i="15" s="1"/>
  <c r="J31" i="11"/>
  <c r="J30" i="11"/>
  <c r="H30" i="11"/>
  <c r="J29" i="11"/>
  <c r="H29" i="11"/>
  <c r="J28" i="11"/>
  <c r="H28" i="11"/>
  <c r="J27" i="11"/>
  <c r="H27" i="11"/>
  <c r="H24" i="11"/>
  <c r="H23" i="11"/>
  <c r="H22" i="11"/>
  <c r="H21" i="11"/>
  <c r="H20" i="11"/>
  <c r="J19" i="11"/>
  <c r="H19" i="11"/>
  <c r="J18" i="11"/>
  <c r="H18" i="11"/>
  <c r="J17" i="11"/>
  <c r="H17" i="11"/>
  <c r="J16" i="11"/>
  <c r="H16" i="11"/>
  <c r="J15" i="11"/>
  <c r="H15" i="11"/>
  <c r="J14" i="11"/>
  <c r="H14" i="11"/>
  <c r="J13" i="11"/>
  <c r="H13" i="11"/>
  <c r="J12" i="11"/>
  <c r="H12" i="11"/>
  <c r="J11" i="11"/>
  <c r="H11" i="11"/>
  <c r="J10" i="11"/>
  <c r="H10" i="11"/>
  <c r="J9" i="11"/>
  <c r="H9" i="11"/>
  <c r="J16" i="16"/>
  <c r="H16" i="16"/>
  <c r="J15" i="16"/>
  <c r="H15" i="16"/>
  <c r="J14" i="16"/>
  <c r="H14" i="16"/>
  <c r="J13" i="16"/>
  <c r="H13" i="16"/>
  <c r="J12" i="16"/>
  <c r="H12" i="16"/>
  <c r="J11" i="16"/>
  <c r="H11" i="16"/>
  <c r="J10" i="16"/>
  <c r="H10" i="16"/>
  <c r="J9" i="16"/>
  <c r="H9" i="16"/>
  <c r="G8" i="16"/>
  <c r="G4" i="16" s="1"/>
  <c r="E22" i="15" s="1"/>
  <c r="I8" i="16"/>
  <c r="I4" i="16" s="1"/>
  <c r="G22" i="15" s="1"/>
  <c r="K8" i="16"/>
  <c r="K4" i="16" s="1"/>
  <c r="I22" i="15" s="1"/>
  <c r="G13" i="18"/>
  <c r="I13" i="18"/>
  <c r="K13" i="18"/>
  <c r="J33" i="18"/>
  <c r="H33" i="18"/>
  <c r="J32" i="18"/>
  <c r="H32" i="18"/>
  <c r="J30" i="18"/>
  <c r="H30" i="18"/>
  <c r="J29" i="18"/>
  <c r="H29" i="18"/>
  <c r="J28" i="18"/>
  <c r="H28" i="18"/>
  <c r="J26" i="18"/>
  <c r="H26" i="18"/>
  <c r="J24" i="18"/>
  <c r="H24" i="18"/>
  <c r="J19" i="18"/>
  <c r="J18" i="18" s="1"/>
  <c r="H19" i="18"/>
  <c r="J17" i="18"/>
  <c r="H17" i="18"/>
  <c r="J16" i="18"/>
  <c r="H16" i="18"/>
  <c r="G15" i="18"/>
  <c r="I15" i="18"/>
  <c r="K15" i="18"/>
  <c r="G18" i="18"/>
  <c r="I18" i="18"/>
  <c r="K18" i="18"/>
  <c r="G27" i="18"/>
  <c r="I27" i="18"/>
  <c r="K27" i="18"/>
  <c r="J14" i="18"/>
  <c r="J13" i="18" s="1"/>
  <c r="H14" i="18"/>
  <c r="I22" i="17"/>
  <c r="I21" i="17" s="1"/>
  <c r="I18" i="17" s="1"/>
  <c r="G22" i="17"/>
  <c r="K22" i="17" s="1"/>
  <c r="K21" i="17" s="1"/>
  <c r="I20" i="17"/>
  <c r="I19" i="17" s="1"/>
  <c r="G20" i="17"/>
  <c r="G19" i="17" s="1"/>
  <c r="I10" i="17"/>
  <c r="J14" i="19"/>
  <c r="J15" i="19"/>
  <c r="J16" i="19"/>
  <c r="J17" i="19"/>
  <c r="J18" i="19"/>
  <c r="J20" i="19"/>
  <c r="J21" i="19"/>
  <c r="J23" i="19"/>
  <c r="J27" i="19"/>
  <c r="J9" i="19"/>
  <c r="G10" i="17"/>
  <c r="G9" i="17" s="1"/>
  <c r="G8" i="17" s="1"/>
  <c r="F9" i="17"/>
  <c r="H9" i="17"/>
  <c r="H8" i="17" s="1"/>
  <c r="H4" i="17" s="1"/>
  <c r="G12" i="15" s="1"/>
  <c r="J9" i="17"/>
  <c r="J8" i="17" s="1"/>
  <c r="F19" i="17"/>
  <c r="H19" i="17"/>
  <c r="J19" i="17"/>
  <c r="F21" i="17"/>
  <c r="H21" i="17"/>
  <c r="J21" i="17"/>
  <c r="H9" i="19"/>
  <c r="H14" i="19"/>
  <c r="H15" i="19"/>
  <c r="H16" i="19"/>
  <c r="H17" i="19"/>
  <c r="H18" i="19"/>
  <c r="H20" i="19"/>
  <c r="H21" i="19"/>
  <c r="H22" i="19"/>
  <c r="H23" i="19"/>
  <c r="H26" i="19"/>
  <c r="H27" i="19"/>
  <c r="H12" i="19"/>
  <c r="J18" i="17" l="1"/>
  <c r="H18" i="17"/>
  <c r="H29" i="20"/>
  <c r="G47" i="15"/>
  <c r="I47" i="15" s="1"/>
  <c r="J29" i="20"/>
  <c r="J25" i="20" s="1"/>
  <c r="H26" i="15" s="1"/>
  <c r="I7" i="18"/>
  <c r="H22" i="18"/>
  <c r="F18" i="17"/>
  <c r="I14" i="17"/>
  <c r="H13" i="15" s="1"/>
  <c r="F14" i="17"/>
  <c r="E13" i="15" s="1"/>
  <c r="J14" i="17"/>
  <c r="I13" i="15" s="1"/>
  <c r="H14" i="17"/>
  <c r="G13" i="15" s="1"/>
  <c r="H27" i="18"/>
  <c r="G7" i="18"/>
  <c r="G3" i="18" s="1"/>
  <c r="E11" i="15" s="1"/>
  <c r="K7" i="18"/>
  <c r="K3" i="18" s="1"/>
  <c r="I11" i="15" s="1"/>
  <c r="L26" i="19"/>
  <c r="L27" i="19"/>
  <c r="H8" i="20"/>
  <c r="H4" i="20" s="1"/>
  <c r="F24" i="15" s="1"/>
  <c r="J22" i="18"/>
  <c r="L18" i="19"/>
  <c r="L22" i="19"/>
  <c r="L15" i="19"/>
  <c r="L14" i="19"/>
  <c r="L10" i="19"/>
  <c r="L9" i="19"/>
  <c r="L23" i="19"/>
  <c r="L21" i="19"/>
  <c r="K11" i="19"/>
  <c r="K8" i="19" s="1"/>
  <c r="K4" i="19" s="1"/>
  <c r="I10" i="15" s="1"/>
  <c r="L20" i="19"/>
  <c r="L17" i="19"/>
  <c r="L16" i="19"/>
  <c r="J8" i="20"/>
  <c r="J4" i="20" s="1"/>
  <c r="H24" i="15" s="1"/>
  <c r="J31" i="18"/>
  <c r="L30" i="20"/>
  <c r="L31" i="20"/>
  <c r="L32" i="20"/>
  <c r="L33" i="20"/>
  <c r="L9" i="16"/>
  <c r="L11" i="16"/>
  <c r="L10" i="16"/>
  <c r="L12" i="16"/>
  <c r="L13" i="16"/>
  <c r="L15" i="16"/>
  <c r="L16" i="16"/>
  <c r="L14" i="16"/>
  <c r="L15" i="11"/>
  <c r="L29" i="11"/>
  <c r="L30" i="11"/>
  <c r="L16" i="11"/>
  <c r="L17" i="11"/>
  <c r="L28" i="11"/>
  <c r="L19" i="11"/>
  <c r="L12" i="11"/>
  <c r="L21" i="11"/>
  <c r="L10" i="11"/>
  <c r="L20" i="11"/>
  <c r="L13" i="11"/>
  <c r="L22" i="11"/>
  <c r="L18" i="11"/>
  <c r="L11" i="11"/>
  <c r="L23" i="11"/>
  <c r="L9" i="11"/>
  <c r="L14" i="11"/>
  <c r="L24" i="11"/>
  <c r="L27" i="11"/>
  <c r="G8" i="19"/>
  <c r="G4" i="19" s="1"/>
  <c r="E10" i="15" s="1"/>
  <c r="L30" i="18"/>
  <c r="L32" i="18"/>
  <c r="H31" i="18"/>
  <c r="H18" i="18"/>
  <c r="L33" i="18"/>
  <c r="L16" i="18"/>
  <c r="L29" i="18"/>
  <c r="L24" i="18"/>
  <c r="L28" i="18"/>
  <c r="I3" i="18"/>
  <c r="G11" i="15" s="1"/>
  <c r="H13" i="18"/>
  <c r="I14" i="20"/>
  <c r="G25" i="15" s="1"/>
  <c r="L9" i="20"/>
  <c r="L10" i="20"/>
  <c r="H14" i="20"/>
  <c r="F25" i="15" s="1"/>
  <c r="L20" i="20"/>
  <c r="L18" i="20" s="1"/>
  <c r="J8" i="11"/>
  <c r="J4" i="11" s="1"/>
  <c r="H23" i="15" s="1"/>
  <c r="I28" i="15"/>
  <c r="J27" i="18"/>
  <c r="L14" i="18"/>
  <c r="L13" i="18" s="1"/>
  <c r="J15" i="18"/>
  <c r="L12" i="19"/>
  <c r="J22" i="19"/>
  <c r="E28" i="15"/>
  <c r="K10" i="17"/>
  <c r="K9" i="17" s="1"/>
  <c r="K8" i="17" s="1"/>
  <c r="K4" i="17" s="1"/>
  <c r="J12" i="15" s="1"/>
  <c r="H25" i="20"/>
  <c r="F26" i="15" s="1"/>
  <c r="F8" i="17"/>
  <c r="F4" i="17" s="1"/>
  <c r="E12" i="15" s="1"/>
  <c r="H8" i="16"/>
  <c r="H4" i="16" s="1"/>
  <c r="F22" i="15" s="1"/>
  <c r="J8" i="16"/>
  <c r="J4" i="16" s="1"/>
  <c r="H22" i="15" s="1"/>
  <c r="H15" i="18"/>
  <c r="J4" i="17"/>
  <c r="I12" i="15" s="1"/>
  <c r="J14" i="20"/>
  <c r="H25" i="15" s="1"/>
  <c r="L26" i="18"/>
  <c r="L19" i="18"/>
  <c r="L18" i="18" s="1"/>
  <c r="L17" i="18"/>
  <c r="G21" i="17"/>
  <c r="G18" i="17" s="1"/>
  <c r="G14" i="17" s="1"/>
  <c r="F13" i="15" s="1"/>
  <c r="K20" i="17"/>
  <c r="K19" i="17" s="1"/>
  <c r="K18" i="17" s="1"/>
  <c r="I9" i="17"/>
  <c r="G4" i="17"/>
  <c r="F12" i="15" s="1"/>
  <c r="H11" i="19"/>
  <c r="F14" i="20"/>
  <c r="D25" i="15" s="1"/>
  <c r="F25" i="20"/>
  <c r="E21" i="17"/>
  <c r="E19" i="17"/>
  <c r="G28" i="15" l="1"/>
  <c r="L29" i="20"/>
  <c r="K14" i="17"/>
  <c r="J13" i="15" s="1"/>
  <c r="E18" i="17"/>
  <c r="E14" i="17" s="1"/>
  <c r="D13" i="15" s="1"/>
  <c r="G46" i="15"/>
  <c r="G48" i="15" s="1"/>
  <c r="G52" i="15" s="1"/>
  <c r="I11" i="19"/>
  <c r="J7" i="18"/>
  <c r="H7" i="18"/>
  <c r="H3" i="18" s="1"/>
  <c r="F11" i="15" s="1"/>
  <c r="L22" i="18"/>
  <c r="L27" i="18"/>
  <c r="J28" i="19"/>
  <c r="J11" i="19" s="1"/>
  <c r="L8" i="20"/>
  <c r="L4" i="20" s="1"/>
  <c r="J24" i="15" s="1"/>
  <c r="J3" i="18"/>
  <c r="H11" i="15" s="1"/>
  <c r="L8" i="16"/>
  <c r="L4" i="16" s="1"/>
  <c r="J22" i="15" s="1"/>
  <c r="H8" i="19"/>
  <c r="H4" i="19" s="1"/>
  <c r="F10" i="15" s="1"/>
  <c r="L15" i="18"/>
  <c r="L31" i="18"/>
  <c r="L28" i="19"/>
  <c r="L11" i="19" s="1"/>
  <c r="I15" i="15"/>
  <c r="I30" i="15" s="1"/>
  <c r="H28" i="15"/>
  <c r="I8" i="17"/>
  <c r="I4" i="17" s="1"/>
  <c r="L14" i="20"/>
  <c r="J25" i="15" s="1"/>
  <c r="L25" i="20"/>
  <c r="J26" i="15" s="1"/>
  <c r="E15" i="15"/>
  <c r="E30" i="15" s="1"/>
  <c r="H12" i="15" l="1"/>
  <c r="L7" i="18"/>
  <c r="L3" i="18" s="1"/>
  <c r="J11" i="15" s="1"/>
  <c r="J8" i="19"/>
  <c r="J4" i="19" s="1"/>
  <c r="H10" i="15" s="1"/>
  <c r="H15" i="15" s="1"/>
  <c r="H30" i="15" s="1"/>
  <c r="I8" i="19"/>
  <c r="I4" i="19" s="1"/>
  <c r="G10" i="15" s="1"/>
  <c r="F15" i="15"/>
  <c r="L8" i="19"/>
  <c r="L4" i="19" s="1"/>
  <c r="J10" i="15" s="1"/>
  <c r="F31" i="11"/>
  <c r="H31" i="11" s="1"/>
  <c r="F25" i="11"/>
  <c r="H25" i="11" s="1"/>
  <c r="F46" i="15" l="1"/>
  <c r="G15" i="15"/>
  <c r="G30" i="15" s="1"/>
  <c r="J15" i="15"/>
  <c r="L31" i="11"/>
  <c r="L25" i="11"/>
  <c r="F26" i="11"/>
  <c r="H26" i="11" s="1"/>
  <c r="F48" i="15" l="1"/>
  <c r="I46" i="15"/>
  <c r="L26" i="11"/>
  <c r="L8" i="11" s="1"/>
  <c r="L4" i="11" s="1"/>
  <c r="J23" i="15" s="1"/>
  <c r="J28" i="15" s="1"/>
  <c r="J30" i="15" s="1"/>
  <c r="H8" i="11"/>
  <c r="H4" i="11" s="1"/>
  <c r="F23" i="15" s="1"/>
  <c r="F28" i="15" s="1"/>
  <c r="F30" i="15" s="1"/>
  <c r="F11" i="19"/>
  <c r="F8" i="19" s="1"/>
  <c r="F52" i="15" l="1"/>
  <c r="I52" i="15" s="1"/>
  <c r="I59" i="15" s="1"/>
  <c r="I48" i="15"/>
  <c r="F8" i="16"/>
  <c r="F15" i="18" l="1"/>
  <c r="F27" i="18" l="1"/>
  <c r="F18" i="18" l="1"/>
  <c r="F13" i="18"/>
  <c r="F7" i="18" s="1"/>
  <c r="F3" i="18" l="1"/>
  <c r="D11" i="15" s="1"/>
  <c r="D26" i="15"/>
  <c r="F4" i="16"/>
  <c r="D22" i="15" s="1"/>
  <c r="F4" i="19"/>
  <c r="D10" i="15" s="1"/>
  <c r="F4" i="20"/>
  <c r="D24" i="15" s="1"/>
  <c r="F8" i="11"/>
  <c r="F4" i="11" s="1"/>
  <c r="D23" i="15" s="1"/>
  <c r="E9" i="17"/>
  <c r="E8" i="17"/>
  <c r="E4" i="17" s="1"/>
  <c r="D12" i="15" l="1"/>
  <c r="D15" i="15"/>
  <c r="D28" i="15"/>
  <c r="D30" i="15" l="1"/>
</calcChain>
</file>

<file path=xl/sharedStrings.xml><?xml version="1.0" encoding="utf-8"?>
<sst xmlns="http://schemas.openxmlformats.org/spreadsheetml/2006/main" count="348" uniqueCount="222">
  <si>
    <t>Taxes, preus públics i altres ingressos</t>
  </si>
  <si>
    <t xml:space="preserve">Transferències corrents </t>
  </si>
  <si>
    <t>Ingressos patrimonials</t>
  </si>
  <si>
    <t>Despeses de Personal</t>
  </si>
  <si>
    <t>Despeses corrents de béns i serveis</t>
  </si>
  <si>
    <t>Inversions reals</t>
  </si>
  <si>
    <t>Despeses financeres</t>
  </si>
  <si>
    <t xml:space="preserve">Capítol  </t>
  </si>
  <si>
    <t>Descripció</t>
  </si>
  <si>
    <t>Pressupost inicial</t>
  </si>
  <si>
    <t>ATM</t>
  </si>
  <si>
    <t>Diputació de Barcelona</t>
  </si>
  <si>
    <t>Generalitat de Catalunya</t>
  </si>
  <si>
    <t>ESTAT D'INGRESSOS</t>
  </si>
  <si>
    <t xml:space="preserve">   Descripció</t>
  </si>
  <si>
    <t xml:space="preserve">Pressupost </t>
  </si>
  <si>
    <t>Modificació crèdit</t>
  </si>
  <si>
    <t>Pressupost              actual</t>
  </si>
  <si>
    <t xml:space="preserve">Drets reconeguts </t>
  </si>
  <si>
    <t>Deutors</t>
  </si>
  <si>
    <t>Ingressos (cobrat)</t>
  </si>
  <si>
    <t>Saldo</t>
  </si>
  <si>
    <t>Actius financers</t>
  </si>
  <si>
    <t>TOTAL ESTAT D'INGRESSOS</t>
  </si>
  <si>
    <t>ESTAT DE DESPESES: Programa: 462.00</t>
  </si>
  <si>
    <t>Obligacions reconegudes</t>
  </si>
  <si>
    <t>Creditors</t>
  </si>
  <si>
    <t>Despeses (pagat)</t>
  </si>
  <si>
    <t>Transferències corrents</t>
  </si>
  <si>
    <t>TOTAL ESTAT DE DESPESES</t>
  </si>
  <si>
    <t>CAPÍTOL 3: Taxes, preus públics i altres ingressos</t>
  </si>
  <si>
    <t>Capítol  /  Concepte</t>
  </si>
  <si>
    <t>Venda de publicacions</t>
  </si>
  <si>
    <t>Altres reintegaments d'operacions corrents</t>
  </si>
  <si>
    <t>Altres ingressos diversos</t>
  </si>
  <si>
    <t>Suport  OHB 2024 (25%)</t>
  </si>
  <si>
    <t>Ajuntament BCN (IMHAB)</t>
  </si>
  <si>
    <t>Xifres habitatge</t>
  </si>
  <si>
    <t>Fons Next Generation en materia d'habitatge</t>
  </si>
  <si>
    <t>Ajuntament BCN (Foment de Ciutat)</t>
  </si>
  <si>
    <t>Pla del Joc 2024</t>
  </si>
  <si>
    <t>Ajuntament BCN (Ecologia Urbana)</t>
  </si>
  <si>
    <t>Inseguretat barris</t>
  </si>
  <si>
    <t>Ajuntament BCN (Direcció Serveis Prevenció i Seguretat)</t>
  </si>
  <si>
    <t>ECVEO</t>
  </si>
  <si>
    <t>Generalitat de Catalunya (Drets Socials)</t>
  </si>
  <si>
    <t xml:space="preserve">Estratègia d'envelliment </t>
  </si>
  <si>
    <t>Acció comunitària barris Catalunya</t>
  </si>
  <si>
    <t>Mapa judicial Catalunya</t>
  </si>
  <si>
    <t>Generalitat de Catalunya (Justícia)</t>
  </si>
  <si>
    <t>Ajuntament Hospitalet de Llobregat</t>
  </si>
  <si>
    <t>Altres estudis o activitats</t>
  </si>
  <si>
    <t>Varis</t>
  </si>
  <si>
    <t xml:space="preserve">CAPÍTOL 4: Transferències corrents </t>
  </si>
  <si>
    <t>Pressupost</t>
  </si>
  <si>
    <t>Altres organismes autònoms i agències</t>
  </si>
  <si>
    <t>Juan de la Cierva</t>
  </si>
  <si>
    <t>Biolandscape (retorn)</t>
  </si>
  <si>
    <t>Departament d'Empresa i Treball (Gencat)</t>
  </si>
  <si>
    <t>Global Entrepreneurship Monitor Catalunya</t>
  </si>
  <si>
    <t>Aportació OHB 2024 (12,5%) _ Incasòl</t>
  </si>
  <si>
    <t>Aportació OHB 2024 (12,5%) _ Agència Habitatge Catalunya</t>
  </si>
  <si>
    <t>Universitat Autònoma de Barcelona</t>
  </si>
  <si>
    <t>Aportació Institucional</t>
  </si>
  <si>
    <t>Subvenció OHB 2024 (25%)</t>
  </si>
  <si>
    <t>Subvenció IVU 2024</t>
  </si>
  <si>
    <t>Ajuntament de Barcelona</t>
  </si>
  <si>
    <t xml:space="preserve">Aportació Institucional </t>
  </si>
  <si>
    <t>Contracte Programa Àrea Drets Socials</t>
  </si>
  <si>
    <t>Àrea Metropolitana de Barcelona</t>
  </si>
  <si>
    <t xml:space="preserve">Contracte Programa </t>
  </si>
  <si>
    <t>Aportació OHB 2024 (25%)</t>
  </si>
  <si>
    <t>Aportació OHB 2023 (25%)</t>
  </si>
  <si>
    <t>D'empreses privades</t>
  </si>
  <si>
    <t>Zabala Innovation (IMPETUS)</t>
  </si>
  <si>
    <t>CAPÍTOL 5: Ingressos patrimonials</t>
  </si>
  <si>
    <t>Interessos de dipòsits</t>
  </si>
  <si>
    <t>CAPÍTOL 8: Actius financers</t>
  </si>
  <si>
    <t>Romanent de Tresoreria amb despesa afectada</t>
  </si>
  <si>
    <t>Romanent de Tresoreria per a despeses generals</t>
  </si>
  <si>
    <t>CAPÍTOL 1: Despeses de personal</t>
  </si>
  <si>
    <t>Programa</t>
  </si>
  <si>
    <t>Capítol / concepte</t>
  </si>
  <si>
    <t>462.00</t>
  </si>
  <si>
    <t>Investigació</t>
  </si>
  <si>
    <t>10100</t>
  </si>
  <si>
    <t>Alts càrrecs. Retribucions bàsiques</t>
  </si>
  <si>
    <t>Desenvolupament</t>
  </si>
  <si>
    <t>13000</t>
  </si>
  <si>
    <t>Personal fix. Retribucions bàsiques</t>
  </si>
  <si>
    <t>Innovació</t>
  </si>
  <si>
    <t>13100</t>
  </si>
  <si>
    <t>Personal temporal. Retribucions bàsiques</t>
  </si>
  <si>
    <t>13101</t>
  </si>
  <si>
    <t>Altres remuneracions. Indemnitzacions</t>
  </si>
  <si>
    <t>14300</t>
  </si>
  <si>
    <t>Sous personal eventual (en pràctiques)</t>
  </si>
  <si>
    <t>16000</t>
  </si>
  <si>
    <t>Seguretat Social</t>
  </si>
  <si>
    <t>16200</t>
  </si>
  <si>
    <t>Formació i perfeccionament</t>
  </si>
  <si>
    <t>16209</t>
  </si>
  <si>
    <t>Despeses socials</t>
  </si>
  <si>
    <t xml:space="preserve">CAPÍTOL 2: Despeses corrents de béns i serveis </t>
  </si>
  <si>
    <t>Despeses corrents en béns i serveis</t>
  </si>
  <si>
    <t>20200</t>
  </si>
  <si>
    <t>Arrendaments d'edificis i altres construccions</t>
  </si>
  <si>
    <t>20300</t>
  </si>
  <si>
    <t>Arrendaments de maquinaria, instal·lacions i utillatge</t>
  </si>
  <si>
    <t>21300</t>
  </si>
  <si>
    <t>Reparacions, manteniment i conservació. Maquinària, instal·lacions</t>
  </si>
  <si>
    <t>21600</t>
  </si>
  <si>
    <t>Reparacions, manteniment i conservació. Equips per a processos d'informació</t>
  </si>
  <si>
    <t>22000</t>
  </si>
  <si>
    <t>Material oficina ordinari no inventariable</t>
  </si>
  <si>
    <t>22001</t>
  </si>
  <si>
    <t>Premsa, revistes, llibres i altres publicacions</t>
  </si>
  <si>
    <t>22002</t>
  </si>
  <si>
    <t>Material informàtic no inventariable</t>
  </si>
  <si>
    <t>22003</t>
  </si>
  <si>
    <t xml:space="preserve">Llicències i programes informàtics </t>
  </si>
  <si>
    <t>22200</t>
  </si>
  <si>
    <t>Servei de telecomunicacions</t>
  </si>
  <si>
    <t>22201</t>
  </si>
  <si>
    <t>Despeses postals, missatgeria i altres similars</t>
  </si>
  <si>
    <t>22400</t>
  </si>
  <si>
    <t>Primes d'assegurances</t>
  </si>
  <si>
    <t>22602</t>
  </si>
  <si>
    <t>Publicitat - serveis web/intranet</t>
  </si>
  <si>
    <t>22603</t>
  </si>
  <si>
    <t>Publicació en diaris oficials</t>
  </si>
  <si>
    <t>22606</t>
  </si>
  <si>
    <t>Reunions, conferències i cursos</t>
  </si>
  <si>
    <t>22610</t>
  </si>
  <si>
    <t>Comunicació</t>
  </si>
  <si>
    <t>22699</t>
  </si>
  <si>
    <t>Altres despeses diverses</t>
  </si>
  <si>
    <t>22706</t>
  </si>
  <si>
    <t>22799</t>
  </si>
  <si>
    <t>23010</t>
  </si>
  <si>
    <t>Dietes personal directiu</t>
  </si>
  <si>
    <t>23020</t>
  </si>
  <si>
    <t>Dietes personal no directiu</t>
  </si>
  <si>
    <t>23110</t>
  </si>
  <si>
    <t>Locomoció personal directiu</t>
  </si>
  <si>
    <t>23120</t>
  </si>
  <si>
    <t>Locomoció personal no directiu</t>
  </si>
  <si>
    <t>24000</t>
  </si>
  <si>
    <t xml:space="preserve">CAPÍTOL 3: Despeses financeres </t>
  </si>
  <si>
    <t>31000</t>
  </si>
  <si>
    <t>Interessos de préstecs d'ens de fora del Sector Públic</t>
  </si>
  <si>
    <t>Altres despeses financeres</t>
  </si>
  <si>
    <t>CAPÍTOL 4: Transferències corrents</t>
  </si>
  <si>
    <t>46700</t>
  </si>
  <si>
    <t xml:space="preserve">CAPÍTOL 6: Inversions reals </t>
  </si>
  <si>
    <t>63300</t>
  </si>
  <si>
    <t>Maquinaria, instal·lacions tècniques i utillatge</t>
  </si>
  <si>
    <t>63500</t>
  </si>
  <si>
    <t xml:space="preserve">Mobiliari </t>
  </si>
  <si>
    <t>63600</t>
  </si>
  <si>
    <t>Equips per a processos d'informació</t>
  </si>
  <si>
    <t>63900</t>
  </si>
  <si>
    <t>Altre immobilitzat material</t>
  </si>
  <si>
    <t>Agroecoland</t>
  </si>
  <si>
    <t>45390</t>
  </si>
  <si>
    <t>Altres subvencions a societats mercantils, ent. Públiques</t>
  </si>
  <si>
    <t>Subvenció OHB 2023 (25%)</t>
  </si>
  <si>
    <t>Enquesta de Mobilitat en dia Feiner (EMEF) 2023</t>
  </si>
  <si>
    <t>Enquesta de Mobilitat en dia Feiner (EMEF) 2024</t>
  </si>
  <si>
    <t>A Consorcis</t>
  </si>
  <si>
    <t>Inst. Est. Autogovern (Gencat)</t>
  </si>
  <si>
    <t>4. (+) Crèdits gastats finançats  amb romanent de tresoreria per a despeses generals</t>
  </si>
  <si>
    <t>5. (+) Desviacions de finançament negatives de l'exercici</t>
  </si>
  <si>
    <t>6. (-) Desviacions de finançament positives de l'exercici</t>
  </si>
  <si>
    <t>RESULTAT PRESSUPOSTARI AJUSTAT</t>
  </si>
  <si>
    <t>Fundación Universitaria Balmes (VIC)</t>
  </si>
  <si>
    <t xml:space="preserve">Edufirst </t>
  </si>
  <si>
    <t>Ajuntament de BCN (Foment de Ciutat)</t>
  </si>
  <si>
    <t>Pla de Barris i EGA's</t>
  </si>
  <si>
    <t>Musiasem</t>
  </si>
  <si>
    <t>Explotació mostra municipal EVAMB 2023</t>
  </si>
  <si>
    <t>Despeses en aplicacions informàtiques</t>
  </si>
  <si>
    <t>Explotació mostra municipal EVAMB 2024</t>
  </si>
  <si>
    <t>RESULTAT PRESSUPOSTARI</t>
  </si>
  <si>
    <t>Concepte</t>
  </si>
  <si>
    <t xml:space="preserve">Drets  </t>
  </si>
  <si>
    <t>Obligacions</t>
  </si>
  <si>
    <t>Ajustos</t>
  </si>
  <si>
    <t xml:space="preserve">Resultat </t>
  </si>
  <si>
    <t>reconeguts</t>
  </si>
  <si>
    <t>reconegudes</t>
  </si>
  <si>
    <t>pressupostari</t>
  </si>
  <si>
    <t xml:space="preserve">     a) Operacions corrents</t>
  </si>
  <si>
    <t xml:space="preserve">     b) Operacions de capital</t>
  </si>
  <si>
    <t>1. Total operacions no financeres (a+b)</t>
  </si>
  <si>
    <t>2. Actius financers</t>
  </si>
  <si>
    <t>3. Passius Financers</t>
  </si>
  <si>
    <t>RESULTAT PRESSUPOSTARI DE L'EXERCICI</t>
  </si>
  <si>
    <t>ROMANENT DE TRESORERIA</t>
  </si>
  <si>
    <t>Component</t>
  </si>
  <si>
    <t>Total</t>
  </si>
  <si>
    <t>1. (+) Fons líquids</t>
  </si>
  <si>
    <t>2. (+) Drets pendents de cobrament</t>
  </si>
  <si>
    <t xml:space="preserve"> </t>
  </si>
  <si>
    <t xml:space="preserve">           '- (+) del pressupost corrent</t>
  </si>
  <si>
    <t xml:space="preserve">           '- (+) de pressupostos tancats</t>
  </si>
  <si>
    <t xml:space="preserve">           '- (+) d'operacions no pressupostàries</t>
  </si>
  <si>
    <t>3. (+) Obligacions pendents de pagament</t>
  </si>
  <si>
    <t>4.Partides pendents d'aplicació</t>
  </si>
  <si>
    <t xml:space="preserve">           '- (-) cobraments realitzats pendents d'aplicació definitiva</t>
  </si>
  <si>
    <t xml:space="preserve">           '- (+) pagaments realitzats pendents d'aplicació definitiva</t>
  </si>
  <si>
    <t>I. Romanent de tresoreria total (1+2-3)</t>
  </si>
  <si>
    <t>II. Saldos de dubtós cobrament</t>
  </si>
  <si>
    <t>III. Excés de finançament afectat</t>
  </si>
  <si>
    <t>IV. Romanent de tresoreria per a despeses generals (I-II-III)</t>
  </si>
  <si>
    <t>Treballs realitzats per persones físiques o jurídiques</t>
  </si>
  <si>
    <t>Estudis i treballs tècnics</t>
  </si>
  <si>
    <t>Despeses de publicacions</t>
  </si>
  <si>
    <t>Liquidació pressupost Institut Metròpoli 2024</t>
  </si>
  <si>
    <t>D'organismes autònoms i agències de les com. autònomes</t>
  </si>
  <si>
    <t>Desp. Ant. 2025: 497.997,81 € / Ing.ant. 2024: 185.279,88 €</t>
  </si>
  <si>
    <t>Ing. Ant. 2024: 439.072,78 € - 140.056,73 € (i+D RD 2023) /                 Prev. Ing. 2023: 207.608,60 €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</si>
</sst>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#,##0.00;\-#,###,##0.00;"/>
    <numFmt numFmtId="165" formatCode="0.00\ %"/>
  </numFmts>
  <fonts count="57" x14ac:knownFonts="1">
    <font>
      <sz val="10"/>
      <color rgb="FF000000"/>
      <name val="Open Sans"/>
      <family val="2"/>
      <scheme val="minor"/>
    </font>
    <font>
      <sz val="11"/>
      <color theme="1"/>
      <name val="Open Sans"/>
      <family val="2"/>
      <scheme val="minor"/>
    </font>
    <font>
      <sz val="8"/>
      <name val="Open Sans"/>
      <family val="2"/>
      <scheme val="minor"/>
    </font>
    <font>
      <sz val="10"/>
      <color theme="1"/>
      <name val="Open Sans"/>
      <family val="2"/>
    </font>
    <font>
      <i/>
      <sz val="10"/>
      <color theme="1"/>
      <name val="Open Sans"/>
      <family val="2"/>
    </font>
    <font>
      <b/>
      <sz val="10"/>
      <color theme="1"/>
      <name val="Open Sans"/>
      <family val="2"/>
    </font>
    <font>
      <sz val="10"/>
      <color rgb="FFFF0000"/>
      <name val="Open Sans"/>
      <family val="2"/>
    </font>
    <font>
      <b/>
      <sz val="10"/>
      <name val="Open Sans"/>
      <family val="2"/>
    </font>
    <font>
      <sz val="10"/>
      <name val="Open Sans"/>
      <family val="2"/>
    </font>
    <font>
      <b/>
      <i/>
      <sz val="10"/>
      <color theme="1"/>
      <name val="Open Sans"/>
      <family val="2"/>
    </font>
    <font>
      <i/>
      <sz val="10"/>
      <name val="Open Sans"/>
      <family val="2"/>
    </font>
    <font>
      <sz val="11"/>
      <color theme="1"/>
      <name val="Open Sans"/>
      <family val="2"/>
      <scheme val="minor"/>
    </font>
    <font>
      <b/>
      <sz val="15"/>
      <color theme="3"/>
      <name val="Open Sans"/>
      <family val="2"/>
      <scheme val="minor"/>
    </font>
    <font>
      <b/>
      <sz val="11"/>
      <color theme="3"/>
      <name val="Open Sans"/>
      <family val="2"/>
      <scheme val="minor"/>
    </font>
    <font>
      <sz val="11"/>
      <color rgb="FF006100"/>
      <name val="Open Sans"/>
      <family val="2"/>
      <scheme val="minor"/>
    </font>
    <font>
      <sz val="11"/>
      <color rgb="FF9C0006"/>
      <name val="Open Sans"/>
      <family val="2"/>
      <scheme val="minor"/>
    </font>
    <font>
      <sz val="11"/>
      <color rgb="FF9C5700"/>
      <name val="Open Sans"/>
      <family val="2"/>
      <scheme val="minor"/>
    </font>
    <font>
      <sz val="11"/>
      <color rgb="FF3F3F76"/>
      <name val="Open Sans"/>
      <family val="2"/>
      <scheme val="minor"/>
    </font>
    <font>
      <b/>
      <sz val="11"/>
      <color rgb="FF3F3F3F"/>
      <name val="Open Sans"/>
      <family val="2"/>
      <scheme val="minor"/>
    </font>
    <font>
      <b/>
      <sz val="11"/>
      <color rgb="FFFA7D00"/>
      <name val="Open Sans"/>
      <family val="2"/>
      <scheme val="minor"/>
    </font>
    <font>
      <sz val="11"/>
      <color rgb="FFFA7D00"/>
      <name val="Open Sans"/>
      <family val="2"/>
      <scheme val="minor"/>
    </font>
    <font>
      <b/>
      <sz val="11"/>
      <color theme="0"/>
      <name val="Open Sans"/>
      <family val="2"/>
      <scheme val="minor"/>
    </font>
    <font>
      <b/>
      <sz val="11"/>
      <color theme="1"/>
      <name val="Open Sans"/>
      <family val="2"/>
      <scheme val="minor"/>
    </font>
    <font>
      <sz val="10"/>
      <color theme="1"/>
      <name val="Open Sans"/>
      <family val="2"/>
      <scheme val="minor"/>
    </font>
    <font>
      <sz val="10"/>
      <color theme="1" tint="0.499984740745262"/>
      <name val="Open Sans"/>
      <family val="2"/>
      <scheme val="minor"/>
    </font>
    <font>
      <sz val="10"/>
      <color rgb="FFFF0000"/>
      <name val="Open Sans"/>
      <family val="2"/>
      <scheme val="minor"/>
    </font>
    <font>
      <sz val="10"/>
      <color theme="0"/>
      <name val="Open Sans"/>
      <family val="2"/>
      <scheme val="minor"/>
    </font>
    <font>
      <b/>
      <sz val="10"/>
      <color rgb="FF8700FF"/>
      <name val="Open Sans"/>
      <family val="2"/>
    </font>
    <font>
      <b/>
      <sz val="10"/>
      <color rgb="FF000000"/>
      <name val="Open Sans"/>
      <family val="2"/>
    </font>
    <font>
      <sz val="10"/>
      <color rgb="FF000000"/>
      <name val="Atkinson Hyperlegible"/>
      <scheme val="major"/>
    </font>
    <font>
      <sz val="30"/>
      <color rgb="FF000000"/>
      <name val="Atkinson Hyperlegible"/>
      <family val="2"/>
      <scheme val="major"/>
    </font>
    <font>
      <sz val="20"/>
      <color rgb="FF000000"/>
      <name val="Atkinson Hyperlegible"/>
      <scheme val="major"/>
    </font>
    <font>
      <b/>
      <sz val="10"/>
      <color rgb="FF000000"/>
      <name val="Atkinson Hyperlegible"/>
      <scheme val="major"/>
    </font>
    <font>
      <b/>
      <sz val="10"/>
      <color theme="1"/>
      <name val="Open Sans"/>
      <family val="2"/>
      <scheme val="minor"/>
    </font>
    <font>
      <b/>
      <sz val="10"/>
      <color rgb="FF000000"/>
      <name val="Open Sans"/>
      <family val="2"/>
      <scheme val="minor"/>
    </font>
    <font>
      <sz val="8"/>
      <color theme="1"/>
      <name val="Open Sans"/>
      <family val="2"/>
    </font>
    <font>
      <b/>
      <sz val="10"/>
      <color rgb="FFFF0000"/>
      <name val="Open Sans"/>
      <family val="2"/>
    </font>
    <font>
      <sz val="10"/>
      <color theme="9" tint="-0.249977111117893"/>
      <name val="Open Sans"/>
      <family val="2"/>
    </font>
    <font>
      <sz val="10"/>
      <color rgb="FF000000"/>
      <name val="Open Sans"/>
      <family val="2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sz val="10"/>
      <name val="Open Sans"/>
      <family val="2"/>
      <scheme val="minor"/>
    </font>
    <font>
      <sz val="10"/>
      <color theme="4" tint="-0.249977111117893"/>
      <name val="Open Sans"/>
      <family val="2"/>
      <scheme val="minor"/>
    </font>
    <font>
      <sz val="14"/>
      <color theme="1"/>
      <name val="Open Sans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sz val="11"/>
      <name val="Open Sans"/>
      <family val="2"/>
      <scheme val="minor"/>
    </font>
    <font>
      <b/>
      <sz val="14"/>
      <color theme="1"/>
      <name val="Open Sans"/>
      <family val="2"/>
      <scheme val="minor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Open Sans"/>
      <family val="2"/>
      <scheme val="minor"/>
    </font>
    <font>
      <b/>
      <sz val="14"/>
      <name val="Open Sans"/>
      <family val="2"/>
      <scheme val="minor"/>
    </font>
    <font>
      <sz val="7"/>
      <name val="Open Sans"/>
      <family val="2"/>
      <scheme val="minor"/>
    </font>
    <font>
      <sz val="10"/>
      <color theme="0"/>
      <name val="Open Sans"/>
      <family val="2"/>
    </font>
    <font>
      <b/>
      <sz val="14"/>
      <color theme="0"/>
      <name val="Open Sans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24994659260841701"/>
      </top>
      <bottom style="thin">
        <color theme="0" tint="-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49" fontId="28" fillId="0" borderId="25" applyProtection="0">
      <alignment vertical="center"/>
      <protection locked="0"/>
    </xf>
    <xf numFmtId="43" fontId="23" fillId="0" borderId="0" applyFill="0" applyBorder="0" applyAlignment="0" applyProtection="0"/>
    <xf numFmtId="41" fontId="23" fillId="0" borderId="0" applyFill="0" applyBorder="0" applyAlignment="0" applyProtection="0"/>
    <xf numFmtId="44" fontId="23" fillId="0" borderId="0" applyFill="0" applyBorder="0" applyAlignment="0" applyProtection="0"/>
    <xf numFmtId="42" fontId="23" fillId="0" borderId="0" applyFill="0" applyBorder="0" applyAlignment="0" applyProtection="0"/>
    <xf numFmtId="165" fontId="23" fillId="0" borderId="0" applyFill="0" applyBorder="0" applyAlignment="0" applyProtection="0"/>
    <xf numFmtId="49" fontId="30" fillId="0" borderId="0" applyProtection="0">
      <alignment vertical="center"/>
    </xf>
    <xf numFmtId="0" fontId="12" fillId="0" borderId="17" applyNumberFormat="0" applyFill="0" applyAlignment="0" applyProtection="0"/>
    <xf numFmtId="49" fontId="31" fillId="0" borderId="0" applyProtection="0">
      <alignment vertical="center"/>
    </xf>
    <xf numFmtId="49" fontId="32" fillId="0" borderId="0" applyProtection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18" applyNumberFormat="0" applyAlignment="0" applyProtection="0"/>
    <xf numFmtId="0" fontId="18" fillId="6" borderId="19" applyNumberFormat="0" applyAlignment="0" applyProtection="0"/>
    <xf numFmtId="0" fontId="19" fillId="6" borderId="18" applyNumberFormat="0" applyAlignment="0" applyProtection="0"/>
    <xf numFmtId="0" fontId="20" fillId="0" borderId="20" applyNumberFormat="0" applyFill="0" applyAlignment="0" applyProtection="0"/>
    <xf numFmtId="0" fontId="21" fillId="7" borderId="21" applyNumberFormat="0" applyAlignment="0" applyProtection="0"/>
    <xf numFmtId="0" fontId="25" fillId="0" borderId="0" applyNumberFormat="0" applyFill="0" applyProtection="0">
      <alignment vertical="center"/>
    </xf>
    <xf numFmtId="0" fontId="11" fillId="8" borderId="22" applyNumberFormat="0" applyFont="0" applyAlignment="0" applyProtection="0"/>
    <xf numFmtId="49" fontId="24" fillId="0" borderId="0" applyProtection="0">
      <alignment vertical="center"/>
    </xf>
    <xf numFmtId="0" fontId="22" fillId="0" borderId="23" applyNumberFormat="0" applyFill="0" applyAlignment="0" applyProtection="0"/>
    <xf numFmtId="0" fontId="26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6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6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6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6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6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49" fontId="29" fillId="0" borderId="24">
      <alignment vertical="center"/>
    </xf>
    <xf numFmtId="4" fontId="27" fillId="0" borderId="26" applyAlignment="0">
      <alignment horizontal="center" vertical="center" wrapText="1"/>
    </xf>
    <xf numFmtId="3" fontId="28" fillId="33" borderId="26" applyAlignment="0">
      <alignment horizontal="left"/>
    </xf>
    <xf numFmtId="0" fontId="1" fillId="0" borderId="0"/>
  </cellStyleXfs>
  <cellXfs count="180">
    <xf numFmtId="0" fontId="0" fillId="0" borderId="0" xfId="0"/>
    <xf numFmtId="0" fontId="3" fillId="0" borderId="0" xfId="0" applyFont="1"/>
    <xf numFmtId="4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right"/>
    </xf>
    <xf numFmtId="0" fontId="8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4" fontId="3" fillId="0" borderId="2" xfId="0" applyNumberFormat="1" applyFont="1" applyBorder="1"/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4" fontId="3" fillId="0" borderId="4" xfId="0" applyNumberFormat="1" applyFont="1" applyBorder="1"/>
    <xf numFmtId="4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4" fontId="8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0" fontId="6" fillId="0" borderId="0" xfId="0" applyFont="1"/>
    <xf numFmtId="164" fontId="6" fillId="0" borderId="0" xfId="0" quotePrefix="1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5" fillId="0" borderId="0" xfId="0" applyNumberFormat="1" applyFont="1" applyAlignment="1">
      <alignment vertical="center" wrapText="1"/>
    </xf>
    <xf numFmtId="1" fontId="5" fillId="0" borderId="6" xfId="0" quotePrefix="1" applyNumberFormat="1" applyFont="1" applyBorder="1" applyAlignment="1">
      <alignment horizontal="center"/>
    </xf>
    <xf numFmtId="0" fontId="5" fillId="0" borderId="6" xfId="0" applyFont="1" applyBorder="1"/>
    <xf numFmtId="4" fontId="9" fillId="0" borderId="6" xfId="0" applyNumberFormat="1" applyFont="1" applyBorder="1" applyAlignment="1">
      <alignment horizontal="left"/>
    </xf>
    <xf numFmtId="4" fontId="5" fillId="0" borderId="6" xfId="0" applyNumberFormat="1" applyFont="1" applyBorder="1"/>
    <xf numFmtId="1" fontId="3" fillId="0" borderId="0" xfId="0" applyNumberFormat="1" applyFont="1" applyAlignment="1">
      <alignment horizontal="right"/>
    </xf>
    <xf numFmtId="0" fontId="3" fillId="0" borderId="15" xfId="0" applyFont="1" applyBorder="1"/>
    <xf numFmtId="4" fontId="4" fillId="0" borderId="1" xfId="0" applyNumberFormat="1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1" fontId="5" fillId="0" borderId="3" xfId="0" applyNumberFormat="1" applyFont="1" applyBorder="1" applyAlignment="1">
      <alignment horizontal="center"/>
    </xf>
    <xf numFmtId="0" fontId="5" fillId="0" borderId="3" xfId="0" applyFont="1" applyBorder="1"/>
    <xf numFmtId="4" fontId="9" fillId="0" borderId="3" xfId="0" applyNumberFormat="1" applyFont="1" applyBorder="1" applyAlignment="1">
      <alignment horizontal="left"/>
    </xf>
    <xf numFmtId="4" fontId="7" fillId="0" borderId="3" xfId="0" applyNumberFormat="1" applyFont="1" applyBorder="1"/>
    <xf numFmtId="1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4" fontId="8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left"/>
    </xf>
    <xf numFmtId="4" fontId="8" fillId="0" borderId="5" xfId="0" applyNumberFormat="1" applyFont="1" applyBorder="1" applyAlignment="1">
      <alignment horizontal="right"/>
    </xf>
    <xf numFmtId="0" fontId="4" fillId="0" borderId="16" xfId="0" applyFont="1" applyBorder="1" applyAlignment="1">
      <alignment horizontal="left"/>
    </xf>
    <xf numFmtId="1" fontId="5" fillId="0" borderId="3" xfId="0" quotePrefix="1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left"/>
    </xf>
    <xf numFmtId="1" fontId="3" fillId="0" borderId="0" xfId="0" quotePrefix="1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1" fontId="5" fillId="0" borderId="0" xfId="0" quotePrefix="1" applyNumberFormat="1" applyFont="1" applyAlignment="1">
      <alignment horizontal="center"/>
    </xf>
    <xf numFmtId="49" fontId="5" fillId="0" borderId="0" xfId="0" applyNumberFormat="1" applyFont="1" applyAlignment="1">
      <alignment horizontal="left"/>
    </xf>
    <xf numFmtId="4" fontId="4" fillId="0" borderId="2" xfId="0" applyNumberFormat="1" applyFont="1" applyBorder="1" applyAlignment="1">
      <alignment horizontal="left"/>
    </xf>
    <xf numFmtId="4" fontId="9" fillId="0" borderId="2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" fontId="8" fillId="0" borderId="4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left" wrapText="1"/>
    </xf>
    <xf numFmtId="49" fontId="3" fillId="0" borderId="15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1" fontId="7" fillId="0" borderId="0" xfId="0" quotePrefix="1" applyNumberFormat="1" applyFont="1" applyAlignment="1">
      <alignment horizontal="center"/>
    </xf>
    <xf numFmtId="4" fontId="4" fillId="0" borderId="0" xfId="0" applyNumberFormat="1" applyFont="1" applyAlignment="1">
      <alignment horizontal="right"/>
    </xf>
    <xf numFmtId="49" fontId="28" fillId="0" borderId="25" xfId="1" applyProtection="1">
      <alignment vertical="center"/>
    </xf>
    <xf numFmtId="49" fontId="32" fillId="0" borderId="0" xfId="10">
      <alignment vertical="center"/>
    </xf>
    <xf numFmtId="1" fontId="3" fillId="0" borderId="26" xfId="0" quotePrefix="1" applyNumberFormat="1" applyFont="1" applyBorder="1" applyAlignment="1">
      <alignment horizontal="center"/>
    </xf>
    <xf numFmtId="0" fontId="3" fillId="0" borderId="26" xfId="0" applyFont="1" applyBorder="1"/>
    <xf numFmtId="3" fontId="7" fillId="33" borderId="26" xfId="0" applyNumberFormat="1" applyFont="1" applyFill="1" applyBorder="1" applyAlignment="1">
      <alignment horizontal="left"/>
    </xf>
    <xf numFmtId="0" fontId="8" fillId="33" borderId="26" xfId="0" applyFont="1" applyFill="1" applyBorder="1"/>
    <xf numFmtId="4" fontId="7" fillId="33" borderId="26" xfId="0" applyNumberFormat="1" applyFont="1" applyFill="1" applyBorder="1"/>
    <xf numFmtId="49" fontId="31" fillId="0" borderId="0" xfId="9">
      <alignment vertical="center"/>
    </xf>
    <xf numFmtId="4" fontId="27" fillId="0" borderId="26" xfId="49" applyAlignment="1">
      <alignment horizontal="center" vertical="center" wrapText="1"/>
    </xf>
    <xf numFmtId="4" fontId="27" fillId="0" borderId="26" xfId="49" applyAlignment="1">
      <alignment vertical="center"/>
    </xf>
    <xf numFmtId="4" fontId="27" fillId="0" borderId="26" xfId="49" applyAlignment="1">
      <alignment horizontal="right" vertical="center" wrapText="1"/>
    </xf>
    <xf numFmtId="4" fontId="27" fillId="0" borderId="26" xfId="49" applyAlignment="1">
      <alignment horizontal="center" vertical="center"/>
    </xf>
    <xf numFmtId="3" fontId="28" fillId="33" borderId="26" xfId="50" applyAlignment="1">
      <alignment horizontal="left"/>
    </xf>
    <xf numFmtId="3" fontId="28" fillId="33" borderId="26" xfId="50" applyAlignment="1"/>
    <xf numFmtId="4" fontId="27" fillId="0" borderId="26" xfId="49" applyAlignment="1">
      <alignment horizontal="left" vertical="center" wrapText="1"/>
    </xf>
    <xf numFmtId="4" fontId="27" fillId="0" borderId="26" xfId="49" applyAlignment="1">
      <alignment vertical="center" wrapText="1"/>
    </xf>
    <xf numFmtId="3" fontId="28" fillId="33" borderId="26" xfId="50" applyAlignment="1">
      <alignment horizontal="right"/>
    </xf>
    <xf numFmtId="4" fontId="28" fillId="33" borderId="26" xfId="50" applyNumberFormat="1" applyAlignment="1"/>
    <xf numFmtId="4" fontId="32" fillId="0" borderId="0" xfId="10" applyNumberFormat="1">
      <alignment vertical="center"/>
    </xf>
    <xf numFmtId="49" fontId="30" fillId="0" borderId="0" xfId="7">
      <alignment vertical="center"/>
    </xf>
    <xf numFmtId="43" fontId="33" fillId="0" borderId="0" xfId="2" applyFont="1" applyAlignment="1">
      <alignment vertical="center"/>
    </xf>
    <xf numFmtId="4" fontId="34" fillId="0" borderId="0" xfId="10" applyNumberFormat="1" applyFont="1" applyAlignment="1">
      <alignment horizontal="right" vertical="center"/>
    </xf>
    <xf numFmtId="2" fontId="34" fillId="0" borderId="0" xfId="10" applyNumberFormat="1" applyFont="1" applyAlignment="1">
      <alignment horizontal="right" vertical="center"/>
    </xf>
    <xf numFmtId="0" fontId="35" fillId="0" borderId="0" xfId="0" applyFont="1" applyAlignment="1">
      <alignment horizontal="left"/>
    </xf>
    <xf numFmtId="0" fontId="35" fillId="0" borderId="0" xfId="0" applyFont="1"/>
    <xf numFmtId="4" fontId="8" fillId="0" borderId="26" xfId="0" applyNumberFormat="1" applyFont="1" applyBorder="1"/>
    <xf numFmtId="4" fontId="7" fillId="0" borderId="6" xfId="0" applyNumberFormat="1" applyFont="1" applyBorder="1"/>
    <xf numFmtId="49" fontId="34" fillId="0" borderId="0" xfId="10" applyFont="1">
      <alignment vertical="center"/>
    </xf>
    <xf numFmtId="4" fontId="34" fillId="0" borderId="0" xfId="10" applyNumberFormat="1" applyFont="1">
      <alignment vertical="center"/>
    </xf>
    <xf numFmtId="4" fontId="9" fillId="0" borderId="15" xfId="0" applyNumberFormat="1" applyFont="1" applyBorder="1" applyAlignment="1">
      <alignment horizontal="left"/>
    </xf>
    <xf numFmtId="4" fontId="4" fillId="0" borderId="15" xfId="0" applyNumberFormat="1" applyFont="1" applyBorder="1" applyAlignment="1">
      <alignment horizontal="left"/>
    </xf>
    <xf numFmtId="1" fontId="36" fillId="0" borderId="0" xfId="0" quotePrefix="1" applyNumberFormat="1" applyFont="1" applyAlignment="1">
      <alignment horizontal="center"/>
    </xf>
    <xf numFmtId="4" fontId="37" fillId="0" borderId="0" xfId="0" applyNumberFormat="1" applyFont="1"/>
    <xf numFmtId="0" fontId="37" fillId="0" borderId="0" xfId="0" applyFont="1"/>
    <xf numFmtId="4" fontId="38" fillId="0" borderId="0" xfId="0" applyNumberFormat="1" applyFont="1"/>
    <xf numFmtId="0" fontId="39" fillId="0" borderId="0" xfId="0" applyFont="1" applyAlignment="1">
      <alignment horizontal="right"/>
    </xf>
    <xf numFmtId="4" fontId="40" fillId="0" borderId="0" xfId="0" applyNumberFormat="1" applyFont="1"/>
    <xf numFmtId="0" fontId="33" fillId="0" borderId="0" xfId="0" applyFont="1" applyAlignment="1">
      <alignment horizontal="right"/>
    </xf>
    <xf numFmtId="4" fontId="23" fillId="0" borderId="0" xfId="0" applyNumberFormat="1" applyFont="1"/>
    <xf numFmtId="4" fontId="41" fillId="0" borderId="0" xfId="0" applyNumberFormat="1" applyFont="1"/>
    <xf numFmtId="4" fontId="42" fillId="0" borderId="0" xfId="0" applyNumberFormat="1" applyFont="1"/>
    <xf numFmtId="49" fontId="1" fillId="0" borderId="0" xfId="51" applyNumberFormat="1"/>
    <xf numFmtId="4" fontId="8" fillId="0" borderId="2" xfId="0" applyNumberFormat="1" applyFont="1" applyBorder="1"/>
    <xf numFmtId="0" fontId="43" fillId="0" borderId="0" xfId="0" applyFont="1"/>
    <xf numFmtId="0" fontId="44" fillId="0" borderId="7" xfId="0" applyFont="1" applyBorder="1"/>
    <xf numFmtId="0" fontId="44" fillId="0" borderId="8" xfId="0" applyFont="1" applyBorder="1"/>
    <xf numFmtId="0" fontId="43" fillId="0" borderId="8" xfId="0" applyFont="1" applyBorder="1"/>
    <xf numFmtId="0" fontId="43" fillId="0" borderId="9" xfId="0" applyFont="1" applyBorder="1" applyAlignment="1">
      <alignment horizontal="right"/>
    </xf>
    <xf numFmtId="4" fontId="43" fillId="0" borderId="0" xfId="0" applyNumberFormat="1" applyFont="1" applyAlignment="1">
      <alignment horizontal="right"/>
    </xf>
    <xf numFmtId="0" fontId="45" fillId="0" borderId="10" xfId="0" applyFont="1" applyBorder="1"/>
    <xf numFmtId="0" fontId="45" fillId="0" borderId="0" xfId="0" applyFont="1"/>
    <xf numFmtId="0" fontId="0" fillId="0" borderId="11" xfId="0" applyBorder="1" applyAlignment="1">
      <alignment horizontal="right"/>
    </xf>
    <xf numFmtId="0" fontId="0" fillId="0" borderId="0" xfId="0" applyAlignment="1">
      <alignment horizontal="right"/>
    </xf>
    <xf numFmtId="0" fontId="45" fillId="0" borderId="0" xfId="0" applyFont="1" applyAlignment="1">
      <alignment horizontal="right"/>
    </xf>
    <xf numFmtId="0" fontId="45" fillId="0" borderId="11" xfId="0" applyFont="1" applyBorder="1" applyAlignment="1">
      <alignment horizontal="right"/>
    </xf>
    <xf numFmtId="0" fontId="0" fillId="0" borderId="10" xfId="0" applyBorder="1"/>
    <xf numFmtId="4" fontId="0" fillId="0" borderId="0" xfId="0" applyNumberFormat="1"/>
    <xf numFmtId="4" fontId="0" fillId="0" borderId="11" xfId="0" applyNumberFormat="1" applyBorder="1" applyAlignment="1">
      <alignment horizontal="right"/>
    </xf>
    <xf numFmtId="4" fontId="0" fillId="0" borderId="27" xfId="0" applyNumberFormat="1" applyBorder="1"/>
    <xf numFmtId="4" fontId="0" fillId="0" borderId="28" xfId="0" applyNumberFormat="1" applyBorder="1" applyAlignment="1">
      <alignment horizontal="right"/>
    </xf>
    <xf numFmtId="0" fontId="46" fillId="0" borderId="10" xfId="0" applyFont="1" applyBorder="1"/>
    <xf numFmtId="0" fontId="46" fillId="0" borderId="0" xfId="0" applyFont="1"/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47" fillId="0" borderId="0" xfId="0" applyNumberFormat="1" applyFont="1" applyAlignment="1">
      <alignment vertical="center"/>
    </xf>
    <xf numFmtId="4" fontId="0" fillId="0" borderId="11" xfId="0" applyNumberFormat="1" applyBorder="1" applyAlignment="1">
      <alignment horizontal="right" vertical="center"/>
    </xf>
    <xf numFmtId="4" fontId="47" fillId="0" borderId="0" xfId="0" applyNumberFormat="1" applyFont="1" applyAlignment="1">
      <alignment horizontal="right"/>
    </xf>
    <xf numFmtId="0" fontId="47" fillId="0" borderId="0" xfId="0" applyFont="1"/>
    <xf numFmtId="0" fontId="48" fillId="0" borderId="0" xfId="0" applyFont="1"/>
    <xf numFmtId="0" fontId="48" fillId="0" borderId="12" xfId="0" applyFont="1" applyBorder="1"/>
    <xf numFmtId="0" fontId="48" fillId="0" borderId="13" xfId="0" applyFont="1" applyBorder="1"/>
    <xf numFmtId="4" fontId="48" fillId="0" borderId="13" xfId="0" applyNumberFormat="1" applyFont="1" applyBorder="1"/>
    <xf numFmtId="4" fontId="48" fillId="0" borderId="30" xfId="0" applyNumberFormat="1" applyFont="1" applyBorder="1" applyAlignment="1">
      <alignment horizontal="right"/>
    </xf>
    <xf numFmtId="4" fontId="48" fillId="0" borderId="0" xfId="0" applyNumberFormat="1" applyFont="1" applyAlignment="1">
      <alignment horizontal="right"/>
    </xf>
    <xf numFmtId="0" fontId="47" fillId="0" borderId="7" xfId="0" applyFont="1" applyBorder="1"/>
    <xf numFmtId="0" fontId="47" fillId="0" borderId="8" xfId="0" applyFont="1" applyBorder="1"/>
    <xf numFmtId="0" fontId="47" fillId="0" borderId="9" xfId="0" applyFont="1" applyBorder="1"/>
    <xf numFmtId="0" fontId="49" fillId="0" borderId="10" xfId="0" applyFont="1" applyBorder="1"/>
    <xf numFmtId="0" fontId="50" fillId="0" borderId="0" xfId="0" applyFont="1"/>
    <xf numFmtId="0" fontId="47" fillId="0" borderId="11" xfId="0" applyFont="1" applyBorder="1"/>
    <xf numFmtId="0" fontId="50" fillId="0" borderId="10" xfId="0" applyFont="1" applyBorder="1"/>
    <xf numFmtId="0" fontId="50" fillId="0" borderId="0" xfId="0" applyFont="1" applyAlignment="1">
      <alignment horizontal="right"/>
    </xf>
    <xf numFmtId="0" fontId="50" fillId="0" borderId="11" xfId="0" applyFont="1" applyBorder="1" applyAlignment="1">
      <alignment horizontal="right"/>
    </xf>
    <xf numFmtId="0" fontId="47" fillId="0" borderId="10" xfId="0" applyFont="1" applyBorder="1"/>
    <xf numFmtId="4" fontId="50" fillId="0" borderId="0" xfId="0" applyNumberFormat="1" applyFont="1" applyAlignment="1">
      <alignment horizontal="right"/>
    </xf>
    <xf numFmtId="4" fontId="51" fillId="0" borderId="11" xfId="0" applyNumberFormat="1" applyFont="1" applyBorder="1" applyAlignment="1">
      <alignment horizontal="right"/>
    </xf>
    <xf numFmtId="4" fontId="47" fillId="0" borderId="0" xfId="0" applyNumberFormat="1" applyFont="1"/>
    <xf numFmtId="4" fontId="47" fillId="0" borderId="11" xfId="0" applyNumberFormat="1" applyFont="1" applyBorder="1"/>
    <xf numFmtId="0" fontId="47" fillId="0" borderId="31" xfId="0" applyFont="1" applyBorder="1"/>
    <xf numFmtId="0" fontId="47" fillId="0" borderId="25" xfId="0" applyFont="1" applyBorder="1"/>
    <xf numFmtId="4" fontId="47" fillId="0" borderId="25" xfId="0" applyNumberFormat="1" applyFont="1" applyBorder="1"/>
    <xf numFmtId="4" fontId="47" fillId="0" borderId="32" xfId="0" applyNumberFormat="1" applyFont="1" applyBorder="1"/>
    <xf numFmtId="0" fontId="47" fillId="0" borderId="29" xfId="0" applyFont="1" applyBorder="1"/>
    <xf numFmtId="0" fontId="47" fillId="0" borderId="27" xfId="0" applyFont="1" applyBorder="1"/>
    <xf numFmtId="4" fontId="47" fillId="0" borderId="27" xfId="0" applyNumberFormat="1" applyFont="1" applyBorder="1"/>
    <xf numFmtId="4" fontId="47" fillId="0" borderId="28" xfId="0" applyNumberFormat="1" applyFont="1" applyBorder="1"/>
    <xf numFmtId="0" fontId="52" fillId="0" borderId="0" xfId="0" applyFont="1"/>
    <xf numFmtId="0" fontId="53" fillId="0" borderId="12" xfId="0" applyFont="1" applyBorder="1"/>
    <xf numFmtId="0" fontId="53" fillId="0" borderId="13" xfId="0" applyFont="1" applyBorder="1"/>
    <xf numFmtId="4" fontId="53" fillId="0" borderId="13" xfId="0" applyNumberFormat="1" applyFont="1" applyBorder="1"/>
    <xf numFmtId="4" fontId="53" fillId="0" borderId="14" xfId="0" applyNumberFormat="1" applyFont="1" applyBorder="1"/>
    <xf numFmtId="0" fontId="53" fillId="0" borderId="0" xfId="0" applyFont="1"/>
    <xf numFmtId="4" fontId="8" fillId="0" borderId="0" xfId="0" applyNumberFormat="1" applyFont="1"/>
    <xf numFmtId="4" fontId="26" fillId="34" borderId="0" xfId="0" applyNumberFormat="1" applyFont="1" applyFill="1"/>
    <xf numFmtId="0" fontId="55" fillId="34" borderId="0" xfId="0" applyFont="1" applyFill="1"/>
    <xf numFmtId="0" fontId="26" fillId="34" borderId="0" xfId="0" applyFont="1" applyFill="1"/>
    <xf numFmtId="0" fontId="56" fillId="34" borderId="0" xfId="0" applyFont="1" applyFill="1"/>
    <xf numFmtId="0" fontId="54" fillId="0" borderId="29" xfId="0" applyFont="1" applyBorder="1" applyAlignment="1">
      <alignment horizontal="center" vertical="center" wrapText="1"/>
    </xf>
    <xf numFmtId="0" fontId="54" fillId="0" borderId="27" xfId="0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 wrapText="1"/>
    </xf>
    <xf numFmtId="0" fontId="54" fillId="0" borderId="0" xfId="0" applyFont="1" applyAlignment="1">
      <alignment horizontal="center" wrapText="1"/>
    </xf>
    <xf numFmtId="4" fontId="27" fillId="0" borderId="26" xfId="49" applyAlignment="1">
      <alignment horizontal="left" vertical="center" wrapText="1"/>
    </xf>
  </cellXfs>
  <cellStyles count="52">
    <cellStyle name="20% - Èmfasi1" xfId="25" builtinId="30" customBuiltin="1"/>
    <cellStyle name="20% - Èmfasi2" xfId="29" builtinId="34" customBuiltin="1"/>
    <cellStyle name="20% - Èmfasi3" xfId="33" builtinId="38" customBuiltin="1"/>
    <cellStyle name="20% - Èmfasi4" xfId="37" builtinId="42" customBuiltin="1"/>
    <cellStyle name="20% - Èmfasi5" xfId="41" builtinId="46" customBuiltin="1"/>
    <cellStyle name="20% - Èmfasi6" xfId="45" builtinId="50" customBuiltin="1"/>
    <cellStyle name="40% - Èmfasi1" xfId="26" builtinId="31" customBuiltin="1"/>
    <cellStyle name="40% - Èmfasi2" xfId="30" builtinId="35" customBuiltin="1"/>
    <cellStyle name="40% - Èmfasi3" xfId="34" builtinId="39" customBuiltin="1"/>
    <cellStyle name="40% - Èmfasi4" xfId="38" builtinId="43" customBuiltin="1"/>
    <cellStyle name="40% - Èmfasi5" xfId="42" builtinId="47" customBuiltin="1"/>
    <cellStyle name="40% - Èmfasi6" xfId="46" builtinId="51" customBuiltin="1"/>
    <cellStyle name="60% - Èmfasi1" xfId="27" builtinId="32" customBuiltin="1"/>
    <cellStyle name="60% - Èmfasi2" xfId="31" builtinId="36" customBuiltin="1"/>
    <cellStyle name="60% - Èmfasi3" xfId="35" builtinId="40" customBuiltin="1"/>
    <cellStyle name="60% - Èmfasi4" xfId="39" builtinId="44" customBuiltin="1"/>
    <cellStyle name="60% - Èmfasi5" xfId="43" builtinId="48" customBuiltin="1"/>
    <cellStyle name="60% - Èmfasi6" xfId="47" builtinId="52" customBuiltin="1"/>
    <cellStyle name="Bé" xfId="12" builtinId="26" hidden="1"/>
    <cellStyle name="Càlcul" xfId="17" builtinId="22" hidden="1"/>
    <cellStyle name="Cel·la de comprovació" xfId="19" builtinId="23" hidden="1"/>
    <cellStyle name="Cel·la enllaçada" xfId="18" builtinId="24" hidden="1"/>
    <cellStyle name="Coma" xfId="2" builtinId="3" customBuiltin="1"/>
    <cellStyle name="Èmfasi1" xfId="24" builtinId="29" customBuiltin="1"/>
    <cellStyle name="Èmfasi2" xfId="28" builtinId="33" customBuiltin="1"/>
    <cellStyle name="Èmfasi3" xfId="32" builtinId="37" customBuiltin="1"/>
    <cellStyle name="Èmfasi4" xfId="36" builtinId="41" customBuiltin="1"/>
    <cellStyle name="Èmfasi5" xfId="40" builtinId="45" customBuiltin="1"/>
    <cellStyle name="Èmfasi6" xfId="44" builtinId="49" customBuiltin="1"/>
    <cellStyle name="Encapçalament taiña" xfId="49" xr:uid="{BBC2A5E6-D763-40B3-A2D6-3E97C8D571E9}"/>
    <cellStyle name="Entrada" xfId="15" builtinId="20" hidden="1"/>
    <cellStyle name="Incorrecte" xfId="13" builtinId="27" hidden="1"/>
    <cellStyle name="Milers [0]" xfId="3" builtinId="6" customBuiltin="1"/>
    <cellStyle name="Moneda" xfId="4" builtinId="4" customBuiltin="1"/>
    <cellStyle name="Moneda [0]" xfId="5" builtinId="7" customBuiltin="1"/>
    <cellStyle name="Neutral" xfId="14" builtinId="28" hidden="1"/>
    <cellStyle name="Normal" xfId="0" builtinId="0" customBuiltin="1"/>
    <cellStyle name="Normal_39900_1" xfId="51" xr:uid="{C7BC4910-E714-4F57-B492-07C39144BE80}"/>
    <cellStyle name="Nota" xfId="21" builtinId="10" hidden="1"/>
    <cellStyle name="Percentatge" xfId="6" builtinId="5" customBuiltin="1"/>
    <cellStyle name="Resultat" xfId="16" builtinId="21" hidden="1"/>
    <cellStyle name="Text d'advertiment" xfId="20" builtinId="11" customBuiltin="1"/>
    <cellStyle name="Text explicatiu" xfId="22" builtinId="53" customBuiltin="1"/>
    <cellStyle name="Títol" xfId="7" builtinId="15" customBuiltin="1"/>
    <cellStyle name="Títol 1" xfId="8" builtinId="16" hidden="1"/>
    <cellStyle name="Títol 2" xfId="9" builtinId="17" customBuiltin="1"/>
    <cellStyle name="Títol 3" xfId="10" builtinId="18" customBuiltin="1"/>
    <cellStyle name="Títol 4" xfId="11" builtinId="19" hidden="1"/>
    <cellStyle name="Títol gràfic" xfId="1" xr:uid="{A3BE2754-41AB-4D4E-A7FD-4B521465F3B6}"/>
    <cellStyle name="Titulo 4" xfId="48" xr:uid="{613EA0DE-94EE-4CAF-A0B1-745A514F390B}"/>
    <cellStyle name="Total" xfId="23" builtinId="25" hidden="1"/>
    <cellStyle name="Totals" xfId="50" xr:uid="{D822A727-8844-482E-A81F-A5C5231836E3}"/>
  </cellStyles>
  <dxfs count="8">
    <dxf>
      <font>
        <b val="0"/>
        <i val="0"/>
        <strike val="0"/>
      </font>
      <fill>
        <patternFill patternType="none">
          <bgColor auto="1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color auto="1"/>
      </font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</font>
      <border>
        <left/>
        <right/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 val="0"/>
        <i val="0"/>
        <color auto="1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color theme="7"/>
      </font>
    </dxf>
    <dxf>
      <font>
        <b/>
        <i val="0"/>
        <strike val="0"/>
      </font>
      <fill>
        <patternFill>
          <fgColor theme="9" tint="0.79998168889431442"/>
          <bgColor theme="9" tint="0.79998168889431442"/>
        </patternFill>
      </fill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lor theme="9"/>
      </font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</font>
      <border>
        <top style="thin">
          <color auto="1"/>
        </top>
        <bottom style="thin">
          <color auto="1"/>
        </bottom>
        <horizontal style="thin">
          <color auto="1"/>
        </horizontal>
      </border>
    </dxf>
  </dxfs>
  <tableStyles count="1" defaultTableStyle="TableStyleMedium9" defaultPivotStyle="PivotStyleLight16">
    <tableStyle name="IM tSUL" pivot="0" count="8" xr9:uid="{C2082316-3BEF-4E85-A2C6-4EF4D1D5C9BC}">
      <tableStyleElement type="wholeTable" dxfId="7"/>
      <tableStyleElement type="headerRow" dxfId="6"/>
      <tableStyleElement type="totalRow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mruColors>
      <color rgb="FF000000"/>
      <color rgb="FF87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773207</xdr:colOff>
      <xdr:row>1</xdr:row>
      <xdr:rowOff>145676</xdr:rowOff>
    </xdr:from>
    <xdr:to>
      <xdr:col>10</xdr:col>
      <xdr:colOff>237966</xdr:colOff>
      <xdr:row>4</xdr:row>
      <xdr:rowOff>50039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AFECBD5A-A01E-426E-B8D0-9494DD49D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336176"/>
          <a:ext cx="1862818" cy="63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311020</xdr:colOff>
      <xdr:row>0</xdr:row>
      <xdr:rowOff>48598</xdr:rowOff>
    </xdr:from>
    <xdr:to>
      <xdr:col>11</xdr:col>
      <xdr:colOff>696492</xdr:colOff>
      <xdr:row>1</xdr:row>
      <xdr:rowOff>486955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C4BC0E70-487D-5637-B532-44BEA12FE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668" y="48598"/>
          <a:ext cx="1862818" cy="63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819150</xdr:colOff>
      <xdr:row>0</xdr:row>
      <xdr:rowOff>0</xdr:rowOff>
    </xdr:from>
    <xdr:to>
      <xdr:col>12</xdr:col>
      <xdr:colOff>81643</xdr:colOff>
      <xdr:row>1</xdr:row>
      <xdr:rowOff>127920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AE29113B-6A19-40B5-8354-EDFF2F0DD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0"/>
          <a:ext cx="1862818" cy="63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704850</xdr:colOff>
      <xdr:row>0</xdr:row>
      <xdr:rowOff>0</xdr:rowOff>
    </xdr:from>
    <xdr:to>
      <xdr:col>11</xdr:col>
      <xdr:colOff>81643</xdr:colOff>
      <xdr:row>1</xdr:row>
      <xdr:rowOff>127920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C8B81B2A-4021-40F7-9C23-93DCE1F2E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0"/>
          <a:ext cx="1862818" cy="63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495300</xdr:colOff>
      <xdr:row>0</xdr:row>
      <xdr:rowOff>0</xdr:rowOff>
    </xdr:from>
    <xdr:to>
      <xdr:col>12</xdr:col>
      <xdr:colOff>110218</xdr:colOff>
      <xdr:row>1</xdr:row>
      <xdr:rowOff>127920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4649103C-29D5-4EF7-AAF4-441ABFB45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0"/>
          <a:ext cx="1862818" cy="63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752475</xdr:colOff>
      <xdr:row>0</xdr:row>
      <xdr:rowOff>0</xdr:rowOff>
    </xdr:from>
    <xdr:to>
      <xdr:col>12</xdr:col>
      <xdr:colOff>81643</xdr:colOff>
      <xdr:row>1</xdr:row>
      <xdr:rowOff>127920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372B8DF7-16A3-48FC-B4C7-7F209DBDB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5" y="0"/>
          <a:ext cx="1862818" cy="63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0</xdr:row>
      <xdr:rowOff>0</xdr:rowOff>
    </xdr:from>
    <xdr:to>
      <xdr:col>11</xdr:col>
      <xdr:colOff>700768</xdr:colOff>
      <xdr:row>1</xdr:row>
      <xdr:rowOff>127920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C98A0F52-B409-4A8F-8A3C-DDCFEF99F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0"/>
          <a:ext cx="1862818" cy="63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IM Excel Soft">
      <a:dk1>
        <a:srgbClr val="404040"/>
      </a:dk1>
      <a:lt1>
        <a:srgbClr val="FFFFFF"/>
      </a:lt1>
      <a:dk2>
        <a:srgbClr val="6CCE73"/>
      </a:dk2>
      <a:lt2>
        <a:srgbClr val="F8A88F"/>
      </a:lt2>
      <a:accent1>
        <a:srgbClr val="FF8A8A"/>
      </a:accent1>
      <a:accent2>
        <a:srgbClr val="FFE292"/>
      </a:accent2>
      <a:accent3>
        <a:srgbClr val="FDBAFD"/>
      </a:accent3>
      <a:accent4>
        <a:srgbClr val="D95189"/>
      </a:accent4>
      <a:accent5>
        <a:srgbClr val="8FF7F7"/>
      </a:accent5>
      <a:accent6>
        <a:srgbClr val="B766FF"/>
      </a:accent6>
      <a:hlink>
        <a:srgbClr val="8700FF"/>
      </a:hlink>
      <a:folHlink>
        <a:srgbClr val="A7E2AB"/>
      </a:folHlink>
    </a:clrScheme>
    <a:fontScheme name="Institut Meptropoli 2">
      <a:majorFont>
        <a:latin typeface="Atkinson Hyperlegible"/>
        <a:ea typeface=""/>
        <a:cs typeface=""/>
      </a:majorFont>
      <a:minorFont>
        <a:latin typeface="Open Sans"/>
        <a:ea typeface=""/>
        <a:cs typeface="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85"/>
  <sheetViews>
    <sheetView showGridLines="0" tabSelected="1" zoomScaleNormal="100" zoomScalePageLayoutView="85" workbookViewId="0">
      <selection activeCell="B4" sqref="B4"/>
    </sheetView>
  </sheetViews>
  <sheetFormatPr defaultColWidth="11.5703125" defaultRowHeight="15" x14ac:dyDescent="0.3"/>
  <cols>
    <col min="1" max="1" width="7" style="1" customWidth="1"/>
    <col min="2" max="2" width="10.7109375" style="1" customWidth="1"/>
    <col min="3" max="3" width="31.7109375" style="1" customWidth="1"/>
    <col min="4" max="4" width="15.140625" style="1" customWidth="1"/>
    <col min="5" max="5" width="15.28515625" style="1" customWidth="1"/>
    <col min="6" max="6" width="17.85546875" style="1" customWidth="1"/>
    <col min="7" max="7" width="16.140625" style="1" customWidth="1"/>
    <col min="8" max="8" width="13.5703125" style="1" customWidth="1"/>
    <col min="9" max="9" width="16.5703125" style="1" customWidth="1"/>
    <col min="10" max="10" width="16.85546875" style="1" customWidth="1"/>
    <col min="11" max="11" width="5.7109375" style="1" customWidth="1"/>
    <col min="12" max="12" width="13.140625" style="1" customWidth="1"/>
    <col min="13" max="16384" width="11.5703125" style="1"/>
  </cols>
  <sheetData>
    <row r="2" spans="2:11" x14ac:dyDescent="0.3">
      <c r="G2"/>
    </row>
    <row r="3" spans="2:11" x14ac:dyDescent="0.3">
      <c r="G3"/>
    </row>
    <row r="4" spans="2:11" ht="27" x14ac:dyDescent="0.3">
      <c r="B4" s="74" t="s">
        <v>218</v>
      </c>
      <c r="C4" s="74"/>
    </row>
    <row r="6" spans="2:11" x14ac:dyDescent="0.3">
      <c r="B6" s="67" t="s">
        <v>13</v>
      </c>
      <c r="C6" s="67"/>
      <c r="D6" s="67"/>
      <c r="E6" s="67"/>
      <c r="F6" s="67"/>
      <c r="G6" s="67"/>
      <c r="H6" s="67"/>
      <c r="I6" s="67"/>
      <c r="J6" s="67"/>
    </row>
    <row r="8" spans="2:11" s="29" customFormat="1" ht="40.5" customHeight="1" x14ac:dyDescent="0.3">
      <c r="B8" s="75" t="s">
        <v>7</v>
      </c>
      <c r="C8" s="76" t="s">
        <v>14</v>
      </c>
      <c r="D8" s="77" t="s">
        <v>9</v>
      </c>
      <c r="E8" s="77" t="s">
        <v>16</v>
      </c>
      <c r="F8" s="77" t="s">
        <v>17</v>
      </c>
      <c r="G8" s="77" t="s">
        <v>18</v>
      </c>
      <c r="H8" s="77" t="s">
        <v>19</v>
      </c>
      <c r="I8" s="77" t="s">
        <v>20</v>
      </c>
      <c r="J8" s="77" t="s">
        <v>21</v>
      </c>
      <c r="K8" s="1"/>
    </row>
    <row r="9" spans="2:11" x14ac:dyDescent="0.3">
      <c r="B9" s="3"/>
      <c r="C9" s="4"/>
      <c r="D9" s="5"/>
      <c r="E9" s="5"/>
      <c r="F9" s="5"/>
      <c r="G9" s="5"/>
      <c r="H9" s="5"/>
      <c r="I9" s="5"/>
      <c r="J9" s="5"/>
    </row>
    <row r="10" spans="2:11" x14ac:dyDescent="0.3">
      <c r="B10" s="69">
        <v>3</v>
      </c>
      <c r="C10" s="70" t="s">
        <v>0</v>
      </c>
      <c r="D10" s="92">
        <f>'Cap. 3 Ing. vendes'!F4</f>
        <v>1139712.6199999999</v>
      </c>
      <c r="E10" s="92">
        <f>'Cap. 3 Ing. vendes'!G4</f>
        <v>354778.47</v>
      </c>
      <c r="F10" s="92">
        <f>'Cap. 3 Ing. vendes'!H4</f>
        <v>1494491.0899999999</v>
      </c>
      <c r="G10" s="92">
        <f>'Cap. 3 Ing. vendes'!I4</f>
        <v>1013999.3800000001</v>
      </c>
      <c r="H10" s="92">
        <f>'Cap. 3 Ing. vendes'!J4</f>
        <v>282663.67</v>
      </c>
      <c r="I10" s="92">
        <f>'Cap. 3 Ing. vendes'!K4</f>
        <v>731335.71</v>
      </c>
      <c r="J10" s="92">
        <f>'Cap. 3 Ing. vendes'!L4</f>
        <v>-480491.7099999999</v>
      </c>
    </row>
    <row r="11" spans="2:11" x14ac:dyDescent="0.3">
      <c r="B11" s="69">
        <v>4</v>
      </c>
      <c r="C11" s="70" t="s">
        <v>1</v>
      </c>
      <c r="D11" s="92">
        <f>'Cap. 4 Ing. Transf.corrents'!F3</f>
        <v>3292944.16</v>
      </c>
      <c r="E11" s="92">
        <f>'Cap. 4 Ing. Transf.corrents'!G3</f>
        <v>668108.06999999995</v>
      </c>
      <c r="F11" s="92">
        <f>'Cap. 4 Ing. Transf.corrents'!H3</f>
        <v>3961052.2300000004</v>
      </c>
      <c r="G11" s="92">
        <f>'Cap. 4 Ing. Transf.corrents'!I3</f>
        <v>3664221.06</v>
      </c>
      <c r="H11" s="92">
        <f>'Cap. 4 Ing. Transf.corrents'!J3</f>
        <v>383553.20999999996</v>
      </c>
      <c r="I11" s="92">
        <f>'Cap. 4 Ing. Transf.corrents'!K3</f>
        <v>3280667.85</v>
      </c>
      <c r="J11" s="92">
        <f>'Cap. 4 Ing. Transf.corrents'!L3</f>
        <v>-296831.17</v>
      </c>
    </row>
    <row r="12" spans="2:11" x14ac:dyDescent="0.3">
      <c r="B12" s="69">
        <v>5</v>
      </c>
      <c r="C12" s="70" t="s">
        <v>2</v>
      </c>
      <c r="D12" s="92">
        <f>'Cap. 5,8 Ing. pat-Act.fin'!E4</f>
        <v>30</v>
      </c>
      <c r="E12" s="92">
        <f>'Cap. 5,8 Ing. pat-Act.fin'!F4</f>
        <v>0</v>
      </c>
      <c r="F12" s="92">
        <f>'Cap. 5,8 Ing. pat-Act.fin'!G4</f>
        <v>30</v>
      </c>
      <c r="G12" s="92">
        <f>'Cap. 5,8 Ing. pat-Act.fin'!H4</f>
        <v>0</v>
      </c>
      <c r="H12" s="92">
        <f>'Cap. 5,8 Ing. pat-Act.fin'!I4</f>
        <v>0</v>
      </c>
      <c r="I12" s="92">
        <f>'Cap. 5,8 Ing. pat-Act.fin'!J4</f>
        <v>0</v>
      </c>
      <c r="J12" s="92">
        <f>'Cap. 5,8 Ing. pat-Act.fin'!K4</f>
        <v>-30</v>
      </c>
    </row>
    <row r="13" spans="2:11" x14ac:dyDescent="0.3">
      <c r="B13" s="69">
        <v>8</v>
      </c>
      <c r="C13" s="70" t="s">
        <v>22</v>
      </c>
      <c r="D13" s="92">
        <f>'Cap. 5,8 Ing. pat-Act.fin'!E14</f>
        <v>0</v>
      </c>
      <c r="E13" s="92">
        <f>'Cap. 5,8 Ing. pat-Act.fin'!F14</f>
        <v>184112.79</v>
      </c>
      <c r="F13" s="92">
        <f>'Cap. 5,8 Ing. pat-Act.fin'!G14</f>
        <v>184112.79</v>
      </c>
      <c r="G13" s="92">
        <f>'Cap. 5,8 Ing. pat-Act.fin'!H14</f>
        <v>0</v>
      </c>
      <c r="H13" s="92">
        <f>'Cap. 5,8 Ing. pat-Act.fin'!I14</f>
        <v>0</v>
      </c>
      <c r="I13" s="92">
        <f>'Cap. 5,8 Ing. pat-Act.fin'!J14</f>
        <v>0</v>
      </c>
      <c r="J13" s="92">
        <f>'Cap. 5,8 Ing. pat-Act.fin'!K14</f>
        <v>-184112.79</v>
      </c>
    </row>
    <row r="14" spans="2:11" x14ac:dyDescent="0.3">
      <c r="C14" s="6"/>
    </row>
    <row r="15" spans="2:11" s="7" customFormat="1" x14ac:dyDescent="0.3">
      <c r="B15" s="71" t="s">
        <v>23</v>
      </c>
      <c r="C15" s="72"/>
      <c r="D15" s="73">
        <f>SUM(D10:D14)</f>
        <v>4432686.78</v>
      </c>
      <c r="E15" s="73">
        <f t="shared" ref="E15:J15" si="0">SUM(E10:E14)</f>
        <v>1206999.3299999998</v>
      </c>
      <c r="F15" s="73">
        <f t="shared" si="0"/>
        <v>5639686.1100000003</v>
      </c>
      <c r="G15" s="73">
        <f t="shared" si="0"/>
        <v>4678220.4400000004</v>
      </c>
      <c r="H15" s="73">
        <f t="shared" si="0"/>
        <v>666216.87999999989</v>
      </c>
      <c r="I15" s="73">
        <f t="shared" si="0"/>
        <v>4012003.56</v>
      </c>
      <c r="J15" s="73">
        <f t="shared" si="0"/>
        <v>-961465.66999999993</v>
      </c>
      <c r="K15" s="1"/>
    </row>
    <row r="16" spans="2:11" x14ac:dyDescent="0.3">
      <c r="B16" s="13"/>
    </row>
    <row r="17" spans="2:11" ht="5.25" customHeight="1" x14ac:dyDescent="0.3">
      <c r="B17" s="13"/>
    </row>
    <row r="18" spans="2:11" x14ac:dyDescent="0.3">
      <c r="B18" s="67" t="s">
        <v>24</v>
      </c>
      <c r="C18" s="67"/>
      <c r="D18" s="67"/>
      <c r="E18" s="67"/>
      <c r="F18" s="67"/>
      <c r="G18" s="67"/>
      <c r="H18" s="67"/>
      <c r="I18" s="67"/>
      <c r="J18" s="67"/>
    </row>
    <row r="19" spans="2:11" ht="6.75" customHeight="1" x14ac:dyDescent="0.3"/>
    <row r="20" spans="2:11" s="29" customFormat="1" ht="39" customHeight="1" x14ac:dyDescent="0.3">
      <c r="B20" s="75" t="s">
        <v>7</v>
      </c>
      <c r="C20" s="76" t="s">
        <v>14</v>
      </c>
      <c r="D20" s="77" t="s">
        <v>9</v>
      </c>
      <c r="E20" s="77" t="s">
        <v>16</v>
      </c>
      <c r="F20" s="77" t="s">
        <v>17</v>
      </c>
      <c r="G20" s="77" t="s">
        <v>25</v>
      </c>
      <c r="H20" s="77" t="s">
        <v>26</v>
      </c>
      <c r="I20" s="77" t="s">
        <v>27</v>
      </c>
      <c r="J20" s="77" t="s">
        <v>21</v>
      </c>
      <c r="K20" s="1"/>
    </row>
    <row r="21" spans="2:11" x14ac:dyDescent="0.3">
      <c r="B21" s="3"/>
      <c r="C21" s="4"/>
      <c r="D21" s="10"/>
      <c r="E21" s="10"/>
      <c r="F21" s="10"/>
      <c r="G21" s="10"/>
      <c r="H21" s="10"/>
      <c r="I21" s="10"/>
      <c r="J21" s="10"/>
    </row>
    <row r="22" spans="2:11" x14ac:dyDescent="0.3">
      <c r="B22" s="69">
        <v>1</v>
      </c>
      <c r="C22" s="70" t="s">
        <v>3</v>
      </c>
      <c r="D22" s="92">
        <f>'Cap. 1 Desp. Personal'!F4</f>
        <v>3180065.07</v>
      </c>
      <c r="E22" s="92">
        <f>'Cap. 1 Desp. Personal'!G4</f>
        <v>1134542.6200000001</v>
      </c>
      <c r="F22" s="92">
        <f>'Cap. 1 Desp. Personal'!H4</f>
        <v>4314607.6900000004</v>
      </c>
      <c r="G22" s="92">
        <f>'Cap. 1 Desp. Personal'!I4</f>
        <v>3619059.6999999997</v>
      </c>
      <c r="H22" s="92">
        <f>'Cap. 1 Desp. Personal'!J4</f>
        <v>0</v>
      </c>
      <c r="I22" s="92">
        <f>'Cap. 1 Desp. Personal'!K4</f>
        <v>3619059.6999999997</v>
      </c>
      <c r="J22" s="92">
        <f>'Cap. 1 Desp. Personal'!L4</f>
        <v>695547.99</v>
      </c>
      <c r="K22" s="170"/>
    </row>
    <row r="23" spans="2:11" x14ac:dyDescent="0.3">
      <c r="B23" s="69">
        <v>2</v>
      </c>
      <c r="C23" s="70" t="s">
        <v>4</v>
      </c>
      <c r="D23" s="92">
        <f>'Cap. 2 Desp.Corrents'!F4</f>
        <v>1239291.71</v>
      </c>
      <c r="E23" s="92">
        <f>'Cap. 2 Desp.Corrents'!G4</f>
        <v>30835.24</v>
      </c>
      <c r="F23" s="92">
        <f>'Cap. 2 Desp.Corrents'!H4</f>
        <v>1270126.9500000002</v>
      </c>
      <c r="G23" s="92">
        <f>'Cap. 2 Desp.Corrents'!I4</f>
        <v>1023103.35</v>
      </c>
      <c r="H23" s="92">
        <f>'Cap. 2 Desp.Corrents'!J4</f>
        <v>343331.30999999994</v>
      </c>
      <c r="I23" s="92">
        <f>'Cap. 2 Desp.Corrents'!K4</f>
        <v>679772.04</v>
      </c>
      <c r="J23" s="92">
        <f>'Cap. 2 Desp.Corrents'!L4</f>
        <v>247023.59999999998</v>
      </c>
      <c r="K23" s="170"/>
    </row>
    <row r="24" spans="2:11" x14ac:dyDescent="0.3">
      <c r="B24" s="69">
        <v>3</v>
      </c>
      <c r="C24" s="70" t="s">
        <v>6</v>
      </c>
      <c r="D24" s="92">
        <f>'Cap. 3-4-6 Df,TC,Inv'!F4</f>
        <v>830</v>
      </c>
      <c r="E24" s="92">
        <f>'Cap. 3-4-6 Df,TC,Inv'!G4</f>
        <v>3100</v>
      </c>
      <c r="F24" s="92">
        <f>'Cap. 3-4-6 Df,TC,Inv'!H4</f>
        <v>3930</v>
      </c>
      <c r="G24" s="92">
        <f>'Cap. 3-4-6 Df,TC,Inv'!I4</f>
        <v>3768.8399999999997</v>
      </c>
      <c r="H24" s="92">
        <f>'Cap. 3-4-6 Df,TC,Inv'!J4</f>
        <v>0</v>
      </c>
      <c r="I24" s="92">
        <f>'Cap. 3-4-6 Df,TC,Inv'!K4</f>
        <v>3768.8399999999997</v>
      </c>
      <c r="J24" s="92">
        <f>'Cap. 3-4-6 Df,TC,Inv'!L4</f>
        <v>161.16000000000011</v>
      </c>
      <c r="K24" s="170"/>
    </row>
    <row r="25" spans="2:11" x14ac:dyDescent="0.3">
      <c r="B25" s="69">
        <v>4</v>
      </c>
      <c r="C25" s="70" t="s">
        <v>28</v>
      </c>
      <c r="D25" s="92">
        <f>'Cap. 3-4-6 Df,TC,Inv'!F14</f>
        <v>0</v>
      </c>
      <c r="E25" s="92">
        <f>'Cap. 3-4-6 Df,TC,Inv'!G14</f>
        <v>38521.47</v>
      </c>
      <c r="F25" s="92">
        <f>'Cap. 3-4-6 Df,TC,Inv'!H14</f>
        <v>38521.47</v>
      </c>
      <c r="G25" s="92">
        <f>'Cap. 3-4-6 Df,TC,Inv'!I14</f>
        <v>33692.47</v>
      </c>
      <c r="H25" s="92">
        <f>'Cap. 3-4-6 Df,TC,Inv'!J14</f>
        <v>0</v>
      </c>
      <c r="I25" s="92">
        <f>'Cap. 3-4-6 Df,TC,Inv'!K14</f>
        <v>33692.47</v>
      </c>
      <c r="J25" s="92">
        <f>'Cap. 3-4-6 Df,TC,Inv'!L14</f>
        <v>4829</v>
      </c>
      <c r="K25" s="170"/>
    </row>
    <row r="26" spans="2:11" x14ac:dyDescent="0.3">
      <c r="B26" s="69">
        <v>6</v>
      </c>
      <c r="C26" s="70" t="s">
        <v>5</v>
      </c>
      <c r="D26" s="92">
        <f>'Cap. 3-4-6 Df,TC,Inv'!F25</f>
        <v>12500</v>
      </c>
      <c r="E26" s="92">
        <f>'Cap. 3-4-6 Df,TC,Inv'!G25</f>
        <v>0</v>
      </c>
      <c r="F26" s="92">
        <f>'Cap. 3-4-6 Df,TC,Inv'!H25</f>
        <v>12500</v>
      </c>
      <c r="G26" s="92">
        <f>'Cap. 3-4-6 Df,TC,Inv'!I25</f>
        <v>11763.130000000001</v>
      </c>
      <c r="H26" s="92">
        <f>'Cap. 3-4-6 Df,TC,Inv'!J25</f>
        <v>3956.4300000000003</v>
      </c>
      <c r="I26" s="92">
        <f>'Cap. 3-4-6 Df,TC,Inv'!K25</f>
        <v>7806.7</v>
      </c>
      <c r="J26" s="92">
        <f>'Cap. 3-4-6 Df,TC,Inv'!L25</f>
        <v>736.86999999999989</v>
      </c>
      <c r="K26" s="170"/>
    </row>
    <row r="28" spans="2:11" s="7" customFormat="1" x14ac:dyDescent="0.3">
      <c r="B28" s="71" t="s">
        <v>29</v>
      </c>
      <c r="C28" s="72"/>
      <c r="D28" s="73">
        <f>SUM(D22:D27)</f>
        <v>4432686.7799999993</v>
      </c>
      <c r="E28" s="73">
        <f t="shared" ref="E28:J28" si="1">SUM(E22:E27)</f>
        <v>1206999.33</v>
      </c>
      <c r="F28" s="73">
        <f t="shared" si="1"/>
        <v>5639686.1100000003</v>
      </c>
      <c r="G28" s="73">
        <f t="shared" si="1"/>
        <v>4691387.4899999993</v>
      </c>
      <c r="H28" s="73">
        <f t="shared" si="1"/>
        <v>347287.73999999993</v>
      </c>
      <c r="I28" s="73">
        <f t="shared" si="1"/>
        <v>4344099.75</v>
      </c>
      <c r="J28" s="73">
        <f t="shared" si="1"/>
        <v>948298.62</v>
      </c>
      <c r="K28" s="1"/>
    </row>
    <row r="29" spans="2:11" ht="8.25" customHeight="1" x14ac:dyDescent="0.3"/>
    <row r="30" spans="2:11" x14ac:dyDescent="0.3">
      <c r="D30" s="9">
        <f>D15-D28</f>
        <v>0</v>
      </c>
      <c r="E30" s="9">
        <f t="shared" ref="E30:I30" si="2">E15-E28</f>
        <v>0</v>
      </c>
      <c r="F30" s="9">
        <f t="shared" si="2"/>
        <v>0</v>
      </c>
      <c r="G30" s="9">
        <f t="shared" si="2"/>
        <v>-13167.049999998882</v>
      </c>
      <c r="H30" s="9">
        <f t="shared" si="2"/>
        <v>318929.13999999996</v>
      </c>
      <c r="I30" s="9">
        <f t="shared" si="2"/>
        <v>-332096.18999999994</v>
      </c>
      <c r="J30" s="9">
        <f>J15+J28</f>
        <v>-13167.04999999993</v>
      </c>
      <c r="K30" s="9"/>
    </row>
    <row r="31" spans="2:11" ht="9" customHeight="1" x14ac:dyDescent="0.3">
      <c r="C31" s="66"/>
      <c r="D31" s="9"/>
      <c r="E31" s="9"/>
      <c r="F31" s="9"/>
      <c r="G31" s="9"/>
      <c r="H31" s="9"/>
      <c r="I31" s="9"/>
      <c r="J31" s="9"/>
      <c r="K31" s="9"/>
    </row>
    <row r="32" spans="2:11" x14ac:dyDescent="0.3">
      <c r="D32" s="9"/>
      <c r="E32" s="9"/>
      <c r="F32" s="9"/>
      <c r="G32" s="9"/>
      <c r="H32" s="9"/>
      <c r="I32" s="9"/>
      <c r="J32" s="9"/>
      <c r="K32" s="9"/>
    </row>
    <row r="33" spans="2:16" ht="16.5" x14ac:dyDescent="0.3">
      <c r="D33" s="9"/>
      <c r="E33" s="9"/>
      <c r="F33" s="9"/>
      <c r="G33" s="9"/>
      <c r="I33" s="102"/>
      <c r="J33" s="103"/>
      <c r="K33" s="103"/>
      <c r="L33" s="8"/>
      <c r="M33" s="8"/>
    </row>
    <row r="34" spans="2:16" ht="16.5" x14ac:dyDescent="0.3">
      <c r="D34" s="9"/>
      <c r="E34" s="9"/>
      <c r="F34" s="9"/>
      <c r="G34" s="9"/>
      <c r="I34" s="102"/>
      <c r="J34" s="103"/>
      <c r="K34" s="103"/>
      <c r="L34" s="8"/>
      <c r="M34" s="8"/>
    </row>
    <row r="35" spans="2:16" ht="16.5" x14ac:dyDescent="0.3">
      <c r="I35" s="102"/>
      <c r="J35" s="103"/>
      <c r="K35" s="103"/>
      <c r="L35" s="105"/>
      <c r="M35" s="106"/>
    </row>
    <row r="36" spans="2:16" ht="16.5" x14ac:dyDescent="0.3">
      <c r="I36" s="102"/>
      <c r="J36" s="103"/>
      <c r="K36" s="103"/>
      <c r="L36" s="105"/>
      <c r="M36" s="106"/>
    </row>
    <row r="37" spans="2:16" ht="15" customHeight="1" x14ac:dyDescent="0.3">
      <c r="I37" s="102"/>
      <c r="J37" s="103"/>
      <c r="K37" s="103"/>
      <c r="L37" s="107"/>
      <c r="M37" s="106"/>
    </row>
    <row r="38" spans="2:16" ht="16.5" customHeight="1" x14ac:dyDescent="0.3">
      <c r="I38" s="102"/>
      <c r="J38" s="103"/>
      <c r="K38" s="103"/>
    </row>
    <row r="39" spans="2:16" ht="9" customHeight="1" x14ac:dyDescent="0.3">
      <c r="I39" s="104"/>
      <c r="J39" s="103"/>
      <c r="K39" s="103"/>
      <c r="P39" s="9"/>
    </row>
    <row r="40" spans="2:16" ht="9" customHeight="1" thickBot="1" x14ac:dyDescent="0.35">
      <c r="I40" s="104"/>
      <c r="J40" s="103"/>
      <c r="K40" s="103"/>
      <c r="P40" s="9"/>
    </row>
    <row r="41" spans="2:16" s="110" customFormat="1" ht="21" x14ac:dyDescent="0.4">
      <c r="B41" s="111" t="s">
        <v>183</v>
      </c>
      <c r="C41" s="112"/>
      <c r="D41" s="113"/>
      <c r="E41" s="113"/>
      <c r="F41" s="113"/>
      <c r="G41" s="113"/>
      <c r="H41" s="113"/>
      <c r="I41" s="114"/>
      <c r="J41" s="115"/>
      <c r="K41" s="115"/>
    </row>
    <row r="42" spans="2:16" customFormat="1" ht="2.25" customHeight="1" x14ac:dyDescent="0.3">
      <c r="B42" s="116"/>
      <c r="C42" s="117"/>
      <c r="I42" s="118"/>
      <c r="J42" s="119"/>
      <c r="K42" s="119"/>
    </row>
    <row r="43" spans="2:16" customFormat="1" ht="15.75" x14ac:dyDescent="0.3">
      <c r="B43" s="116" t="s">
        <v>184</v>
      </c>
      <c r="C43" s="117"/>
      <c r="F43" s="120" t="s">
        <v>185</v>
      </c>
      <c r="G43" s="120" t="s">
        <v>186</v>
      </c>
      <c r="H43" s="120" t="s">
        <v>187</v>
      </c>
      <c r="I43" s="121" t="s">
        <v>188</v>
      </c>
      <c r="J43" s="119"/>
      <c r="K43" s="119"/>
    </row>
    <row r="44" spans="2:16" customFormat="1" ht="15" customHeight="1" x14ac:dyDescent="0.3">
      <c r="B44" s="122"/>
      <c r="F44" s="120" t="s">
        <v>189</v>
      </c>
      <c r="G44" s="120" t="s">
        <v>190</v>
      </c>
      <c r="H44" s="120"/>
      <c r="I44" s="121" t="s">
        <v>191</v>
      </c>
      <c r="J44" s="119"/>
      <c r="K44" s="119"/>
    </row>
    <row r="45" spans="2:16" customFormat="1" ht="3" customHeight="1" x14ac:dyDescent="0.3">
      <c r="B45" s="122"/>
      <c r="F45" s="120"/>
      <c r="G45" s="120"/>
      <c r="H45" s="120"/>
      <c r="I45" s="121"/>
      <c r="J45" s="119"/>
      <c r="K45" s="119"/>
    </row>
    <row r="46" spans="2:16" customFormat="1" x14ac:dyDescent="0.3">
      <c r="B46" s="122" t="s">
        <v>192</v>
      </c>
      <c r="F46" s="123">
        <f>G10+G11</f>
        <v>4678220.4400000004</v>
      </c>
      <c r="G46" s="123">
        <f>G22+G23+G24+G25</f>
        <v>4679624.3599999994</v>
      </c>
      <c r="H46" s="123"/>
      <c r="I46" s="124">
        <f>F46-G46</f>
        <v>-1403.9199999989942</v>
      </c>
      <c r="J46" s="119"/>
      <c r="K46" s="119"/>
    </row>
    <row r="47" spans="2:16" customFormat="1" x14ac:dyDescent="0.3">
      <c r="B47" s="122" t="s">
        <v>193</v>
      </c>
      <c r="F47" s="123">
        <v>0</v>
      </c>
      <c r="G47" s="123">
        <f>G26</f>
        <v>11763.130000000001</v>
      </c>
      <c r="H47" s="123"/>
      <c r="I47" s="124">
        <f>F47-G47</f>
        <v>-11763.130000000001</v>
      </c>
      <c r="J47" s="119"/>
      <c r="K47" s="119"/>
    </row>
    <row r="48" spans="2:16" customFormat="1" x14ac:dyDescent="0.3">
      <c r="B48" s="122" t="s">
        <v>194</v>
      </c>
      <c r="F48" s="123">
        <f>SUM(F46:F47)</f>
        <v>4678220.4400000004</v>
      </c>
      <c r="G48" s="123">
        <f>SUM(G46:G47)</f>
        <v>4691387.4899999993</v>
      </c>
      <c r="H48" s="123"/>
      <c r="I48" s="124">
        <f>F48-G48</f>
        <v>-13167.049999998882</v>
      </c>
      <c r="J48" s="119"/>
      <c r="K48" s="119"/>
    </row>
    <row r="49" spans="2:15" customFormat="1" x14ac:dyDescent="0.3">
      <c r="B49" s="122" t="s">
        <v>195</v>
      </c>
      <c r="F49" s="123">
        <f>I71</f>
        <v>0</v>
      </c>
      <c r="G49" s="123">
        <v>0</v>
      </c>
      <c r="H49" s="123"/>
      <c r="I49" s="124">
        <f>F49-G49</f>
        <v>0</v>
      </c>
      <c r="J49" s="119"/>
      <c r="K49" s="119"/>
    </row>
    <row r="50" spans="2:15" customFormat="1" x14ac:dyDescent="0.3">
      <c r="B50" s="122" t="s">
        <v>196</v>
      </c>
      <c r="F50" s="123">
        <v>0</v>
      </c>
      <c r="G50" s="123">
        <v>0</v>
      </c>
      <c r="H50" s="123"/>
      <c r="I50" s="124">
        <f>F50-G50</f>
        <v>0</v>
      </c>
      <c r="J50" s="119"/>
      <c r="K50" s="119"/>
    </row>
    <row r="51" spans="2:15" customFormat="1" ht="10.5" customHeight="1" x14ac:dyDescent="0.3">
      <c r="B51" s="122"/>
      <c r="F51" s="125"/>
      <c r="G51" s="125"/>
      <c r="H51" s="123"/>
      <c r="I51" s="126"/>
      <c r="J51" s="119"/>
      <c r="K51" s="119"/>
    </row>
    <row r="52" spans="2:15" customFormat="1" x14ac:dyDescent="0.3">
      <c r="B52" s="122" t="s">
        <v>197</v>
      </c>
      <c r="F52" s="123">
        <f>SUM(F48:F50)</f>
        <v>4678220.4400000004</v>
      </c>
      <c r="G52" s="123">
        <f>SUM(G48:G50)</f>
        <v>4691387.4899999993</v>
      </c>
      <c r="H52" s="123"/>
      <c r="I52" s="124">
        <f>F52-G52</f>
        <v>-13167.049999998882</v>
      </c>
      <c r="J52" s="119"/>
      <c r="K52" s="119"/>
    </row>
    <row r="53" spans="2:15" customFormat="1" ht="3.75" customHeight="1" x14ac:dyDescent="0.3">
      <c r="B53" s="122"/>
      <c r="F53" s="123"/>
      <c r="G53" s="123"/>
      <c r="H53" s="123"/>
      <c r="I53" s="124"/>
      <c r="J53" s="119"/>
      <c r="K53" s="119"/>
    </row>
    <row r="54" spans="2:15" customFormat="1" ht="15.75" x14ac:dyDescent="0.3">
      <c r="B54" s="127" t="s">
        <v>187</v>
      </c>
      <c r="C54" s="128"/>
      <c r="F54" s="123"/>
      <c r="G54" s="123"/>
      <c r="H54" s="123"/>
      <c r="I54" s="124"/>
      <c r="J54" s="119"/>
      <c r="K54" s="119"/>
    </row>
    <row r="55" spans="2:15" customFormat="1" ht="16.5" x14ac:dyDescent="0.3">
      <c r="B55" s="129" t="s">
        <v>171</v>
      </c>
      <c r="C55" s="130"/>
      <c r="D55" s="130"/>
      <c r="E55" s="130"/>
      <c r="F55" s="131"/>
      <c r="G55" s="131"/>
      <c r="H55" s="132">
        <v>17302.66</v>
      </c>
      <c r="I55" s="133"/>
      <c r="J55" s="134"/>
      <c r="K55" s="134"/>
      <c r="L55" s="8"/>
      <c r="M55" s="8"/>
      <c r="N55" s="1"/>
    </row>
    <row r="56" spans="2:15" customFormat="1" ht="21.75" customHeight="1" x14ac:dyDescent="0.3">
      <c r="B56" s="129" t="s">
        <v>172</v>
      </c>
      <c r="C56" s="130"/>
      <c r="D56" s="130"/>
      <c r="E56" s="130"/>
      <c r="F56" s="131"/>
      <c r="G56" s="131"/>
      <c r="H56" s="132">
        <f>497997.81+185279.88</f>
        <v>683277.69</v>
      </c>
      <c r="I56" s="133"/>
      <c r="J56" s="175" t="s">
        <v>220</v>
      </c>
      <c r="K56" s="176"/>
      <c r="L56" s="105"/>
      <c r="M56" s="106"/>
      <c r="N56" s="1"/>
    </row>
    <row r="57" spans="2:15" customFormat="1" ht="33.75" customHeight="1" x14ac:dyDescent="0.3">
      <c r="B57" s="129" t="s">
        <v>173</v>
      </c>
      <c r="C57" s="130"/>
      <c r="D57" s="130"/>
      <c r="E57" s="130"/>
      <c r="F57" s="131"/>
      <c r="G57" s="131"/>
      <c r="H57" s="132">
        <f>439072.78+207608.6-140056.73</f>
        <v>506624.65</v>
      </c>
      <c r="I57" s="133">
        <f>H55+H56-H57</f>
        <v>193955.69999999995</v>
      </c>
      <c r="J57" s="177" t="s">
        <v>221</v>
      </c>
      <c r="K57" s="178"/>
      <c r="L57" s="106"/>
      <c r="M57" s="171">
        <f>11032.07+65041.54+37118.92+26864.2</f>
        <v>140056.73000000001</v>
      </c>
      <c r="N57" s="172">
        <f>14410+12174+12604.53+5044.86+113808.72+28452.18+21114.31</f>
        <v>207608.59999999998</v>
      </c>
      <c r="O57" s="173"/>
    </row>
    <row r="58" spans="2:15" customFormat="1" ht="1.5" customHeight="1" thickBot="1" x14ac:dyDescent="0.35">
      <c r="B58" s="122"/>
      <c r="F58" s="123"/>
      <c r="G58" s="123"/>
      <c r="H58" s="123"/>
      <c r="I58" s="124"/>
      <c r="J58" s="119"/>
      <c r="K58" s="119"/>
      <c r="L58" s="1"/>
      <c r="M58" s="172"/>
      <c r="N58" s="172"/>
      <c r="O58" s="173"/>
    </row>
    <row r="59" spans="2:15" s="136" customFormat="1" ht="21.75" thickBot="1" x14ac:dyDescent="0.45">
      <c r="B59" s="137" t="s">
        <v>174</v>
      </c>
      <c r="C59" s="138"/>
      <c r="D59" s="138"/>
      <c r="E59" s="138"/>
      <c r="F59" s="139"/>
      <c r="G59" s="139"/>
      <c r="H59" s="139"/>
      <c r="I59" s="140">
        <f>I52+I57</f>
        <v>180788.65000000107</v>
      </c>
      <c r="J59" s="141"/>
      <c r="K59" s="141"/>
      <c r="M59" s="174"/>
      <c r="N59" s="174"/>
      <c r="O59" s="174"/>
    </row>
    <row r="60" spans="2:15" customFormat="1" ht="12" customHeight="1" thickBot="1" x14ac:dyDescent="0.35">
      <c r="M60" s="173"/>
      <c r="N60" s="173"/>
      <c r="O60" s="173"/>
    </row>
    <row r="61" spans="2:15" s="135" customFormat="1" ht="9.75" customHeight="1" x14ac:dyDescent="0.3">
      <c r="B61" s="142"/>
      <c r="C61" s="143"/>
      <c r="D61" s="143"/>
      <c r="E61" s="143"/>
      <c r="F61" s="143"/>
      <c r="G61" s="144"/>
    </row>
    <row r="62" spans="2:15" s="135" customFormat="1" ht="18.75" x14ac:dyDescent="0.3">
      <c r="B62" s="145" t="s">
        <v>198</v>
      </c>
      <c r="C62" s="146"/>
      <c r="G62" s="147"/>
    </row>
    <row r="63" spans="2:15" s="135" customFormat="1" ht="3" customHeight="1" x14ac:dyDescent="0.3">
      <c r="B63" s="148"/>
      <c r="C63" s="146"/>
      <c r="G63" s="147"/>
    </row>
    <row r="64" spans="2:15" s="135" customFormat="1" ht="14.25" customHeight="1" x14ac:dyDescent="0.3">
      <c r="B64" s="148" t="s">
        <v>199</v>
      </c>
      <c r="C64" s="146"/>
      <c r="F64" s="149"/>
      <c r="G64" s="150" t="s">
        <v>200</v>
      </c>
    </row>
    <row r="65" spans="2:9" s="135" customFormat="1" ht="2.25" customHeight="1" x14ac:dyDescent="0.3">
      <c r="B65" s="151"/>
      <c r="F65" s="149"/>
      <c r="G65" s="150"/>
    </row>
    <row r="66" spans="2:9" s="135" customFormat="1" ht="16.5" x14ac:dyDescent="0.3">
      <c r="B66" s="151" t="s">
        <v>201</v>
      </c>
      <c r="F66" s="152"/>
      <c r="G66" s="153">
        <v>332604.13</v>
      </c>
    </row>
    <row r="67" spans="2:9" s="135" customFormat="1" ht="16.5" x14ac:dyDescent="0.3">
      <c r="B67" s="151" t="s">
        <v>202</v>
      </c>
      <c r="F67" s="154"/>
      <c r="G67" s="155">
        <f>SUM(F68:F70)</f>
        <v>680813.18</v>
      </c>
      <c r="I67" s="135" t="s">
        <v>203</v>
      </c>
    </row>
    <row r="68" spans="2:9" s="135" customFormat="1" ht="16.5" x14ac:dyDescent="0.3">
      <c r="B68" s="151" t="s">
        <v>204</v>
      </c>
      <c r="F68" s="154">
        <v>666216.88</v>
      </c>
      <c r="G68" s="155"/>
    </row>
    <row r="69" spans="2:9" s="135" customFormat="1" ht="16.5" x14ac:dyDescent="0.3">
      <c r="B69" s="151" t="s">
        <v>205</v>
      </c>
      <c r="F69" s="154">
        <v>0</v>
      </c>
      <c r="G69" s="155"/>
    </row>
    <row r="70" spans="2:9" s="135" customFormat="1" ht="16.5" x14ac:dyDescent="0.3">
      <c r="B70" s="151" t="s">
        <v>206</v>
      </c>
      <c r="F70" s="154">
        <v>14596.3</v>
      </c>
      <c r="G70" s="155"/>
    </row>
    <row r="71" spans="2:9" s="135" customFormat="1" ht="16.5" x14ac:dyDescent="0.3">
      <c r="B71" s="151" t="s">
        <v>207</v>
      </c>
      <c r="F71" s="154"/>
      <c r="G71" s="155">
        <f>SUM(F72:F74)</f>
        <v>615645.24</v>
      </c>
    </row>
    <row r="72" spans="2:9" s="135" customFormat="1" ht="16.5" x14ac:dyDescent="0.3">
      <c r="B72" s="151" t="s">
        <v>204</v>
      </c>
      <c r="F72" s="154">
        <v>347287.74</v>
      </c>
      <c r="G72" s="155"/>
    </row>
    <row r="73" spans="2:9" s="135" customFormat="1" ht="16.5" x14ac:dyDescent="0.3">
      <c r="B73" s="151" t="s">
        <v>205</v>
      </c>
      <c r="F73" s="154">
        <v>0</v>
      </c>
      <c r="G73" s="155"/>
    </row>
    <row r="74" spans="2:9" s="135" customFormat="1" ht="16.5" x14ac:dyDescent="0.3">
      <c r="B74" s="151" t="s">
        <v>206</v>
      </c>
      <c r="F74" s="154">
        <v>268357.5</v>
      </c>
      <c r="G74" s="155"/>
    </row>
    <row r="75" spans="2:9" s="135" customFormat="1" ht="16.5" x14ac:dyDescent="0.3">
      <c r="B75" s="151" t="s">
        <v>208</v>
      </c>
      <c r="F75" s="154"/>
      <c r="G75" s="155">
        <f>SUM(F76:F77)</f>
        <v>0</v>
      </c>
    </row>
    <row r="76" spans="2:9" s="135" customFormat="1" ht="16.5" x14ac:dyDescent="0.3">
      <c r="B76" s="151" t="s">
        <v>209</v>
      </c>
      <c r="F76" s="154">
        <v>0</v>
      </c>
      <c r="G76" s="155"/>
    </row>
    <row r="77" spans="2:9" s="135" customFormat="1" ht="16.5" x14ac:dyDescent="0.3">
      <c r="B77" s="151" t="s">
        <v>210</v>
      </c>
      <c r="F77" s="154">
        <v>0</v>
      </c>
      <c r="G77" s="155"/>
    </row>
    <row r="78" spans="2:9" s="135" customFormat="1" ht="3" customHeight="1" x14ac:dyDescent="0.3">
      <c r="B78" s="151"/>
      <c r="F78" s="154"/>
      <c r="G78" s="155"/>
    </row>
    <row r="79" spans="2:9" s="135" customFormat="1" ht="16.5" x14ac:dyDescent="0.3">
      <c r="B79" s="151" t="s">
        <v>211</v>
      </c>
      <c r="F79" s="154"/>
      <c r="G79" s="155">
        <f>G66+G67-G71+G75</f>
        <v>397772.07000000007</v>
      </c>
    </row>
    <row r="80" spans="2:9" s="135" customFormat="1" ht="4.5" customHeight="1" x14ac:dyDescent="0.3">
      <c r="B80" s="151"/>
      <c r="F80" s="154"/>
      <c r="G80" s="155"/>
    </row>
    <row r="81" spans="2:8" s="135" customFormat="1" ht="16.5" x14ac:dyDescent="0.3">
      <c r="B81" s="156" t="s">
        <v>212</v>
      </c>
      <c r="C81" s="157"/>
      <c r="D81" s="157"/>
      <c r="E81" s="157"/>
      <c r="F81" s="158"/>
      <c r="G81" s="159">
        <v>0</v>
      </c>
    </row>
    <row r="82" spans="2:8" s="135" customFormat="1" ht="16.5" x14ac:dyDescent="0.3">
      <c r="B82" s="160" t="s">
        <v>213</v>
      </c>
      <c r="C82" s="161"/>
      <c r="D82" s="161"/>
      <c r="E82" s="161"/>
      <c r="F82" s="162"/>
      <c r="G82" s="163">
        <v>439072.78</v>
      </c>
      <c r="H82" s="164"/>
    </row>
    <row r="83" spans="2:8" s="135" customFormat="1" ht="0.75" customHeight="1" x14ac:dyDescent="0.3">
      <c r="B83" s="151"/>
      <c r="F83" s="154"/>
      <c r="G83" s="155"/>
    </row>
    <row r="84" spans="2:8" s="135" customFormat="1" ht="21.75" thickBot="1" x14ac:dyDescent="0.45">
      <c r="B84" s="165" t="s">
        <v>214</v>
      </c>
      <c r="C84" s="166"/>
      <c r="D84" s="166"/>
      <c r="E84" s="166"/>
      <c r="F84" s="167"/>
      <c r="G84" s="168">
        <f>G79-G81-G82</f>
        <v>-41300.709999999963</v>
      </c>
      <c r="H84" s="169"/>
    </row>
    <row r="85" spans="2:8" s="135" customFormat="1" ht="16.5" x14ac:dyDescent="0.3"/>
  </sheetData>
  <mergeCells count="2">
    <mergeCell ref="J56:K56"/>
    <mergeCell ref="J57:K57"/>
  </mergeCells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&amp;CLiquidació pressupost 2024 Institut Metròpoli_31/12/2024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55"/>
  <sheetViews>
    <sheetView showGridLines="0" view="pageLayout" zoomScale="85" zoomScaleNormal="100" zoomScalePageLayoutView="85" workbookViewId="0">
      <selection activeCell="F32" sqref="F32"/>
    </sheetView>
  </sheetViews>
  <sheetFormatPr defaultColWidth="11.5703125" defaultRowHeight="15" x14ac:dyDescent="0.3"/>
  <cols>
    <col min="1" max="1" width="0.7109375" style="1" customWidth="1"/>
    <col min="2" max="2" width="10.140625" style="1" customWidth="1"/>
    <col min="3" max="3" width="2.28515625" style="1" customWidth="1"/>
    <col min="4" max="4" width="37.85546875" style="1" customWidth="1"/>
    <col min="5" max="5" width="33.42578125" style="1" customWidth="1"/>
    <col min="6" max="6" width="12" style="1" customWidth="1"/>
    <col min="7" max="7" width="11.5703125" style="1" customWidth="1"/>
    <col min="8" max="8" width="13.42578125" style="1" customWidth="1"/>
    <col min="9" max="9" width="12.42578125" style="1" customWidth="1"/>
    <col min="10" max="10" width="10.42578125" style="1" customWidth="1"/>
    <col min="11" max="11" width="10.42578125" style="1" bestFit="1" customWidth="1"/>
    <col min="12" max="12" width="10.85546875" style="1" bestFit="1" customWidth="1"/>
    <col min="13" max="16384" width="11.5703125" style="1"/>
  </cols>
  <sheetData>
    <row r="2" spans="1:12" s="86" customFormat="1" ht="39.75" x14ac:dyDescent="0.3">
      <c r="G2"/>
    </row>
    <row r="4" spans="1:12" s="11" customFormat="1" x14ac:dyDescent="0.3">
      <c r="A4" s="94" t="s">
        <v>30</v>
      </c>
      <c r="B4" s="94"/>
      <c r="C4" s="94"/>
      <c r="D4" s="94"/>
      <c r="E4" s="94"/>
      <c r="F4" s="88">
        <f t="shared" ref="F4:L4" si="0">F8</f>
        <v>1139712.6199999999</v>
      </c>
      <c r="G4" s="88">
        <f t="shared" si="0"/>
        <v>354778.47</v>
      </c>
      <c r="H4" s="88">
        <f t="shared" si="0"/>
        <v>1494491.0899999999</v>
      </c>
      <c r="I4" s="88">
        <f t="shared" si="0"/>
        <v>1013999.3800000001</v>
      </c>
      <c r="J4" s="88">
        <f t="shared" si="0"/>
        <v>282663.67</v>
      </c>
      <c r="K4" s="88">
        <f t="shared" si="0"/>
        <v>731335.71</v>
      </c>
      <c r="L4" s="88">
        <f t="shared" si="0"/>
        <v>-480491.7099999999</v>
      </c>
    </row>
    <row r="6" spans="1:12" s="29" customFormat="1" ht="30" x14ac:dyDescent="0.3">
      <c r="A6" s="28"/>
      <c r="B6" s="75" t="s">
        <v>31</v>
      </c>
      <c r="C6" s="76"/>
      <c r="D6" s="76" t="s">
        <v>8</v>
      </c>
      <c r="E6" s="78"/>
      <c r="F6" s="77" t="s">
        <v>15</v>
      </c>
      <c r="G6" s="77" t="s">
        <v>16</v>
      </c>
      <c r="H6" s="77" t="s">
        <v>17</v>
      </c>
      <c r="I6" s="77" t="s">
        <v>18</v>
      </c>
      <c r="J6" s="77" t="s">
        <v>19</v>
      </c>
      <c r="K6" s="77" t="s">
        <v>20</v>
      </c>
      <c r="L6" s="77" t="s">
        <v>21</v>
      </c>
    </row>
    <row r="7" spans="1:12" x14ac:dyDescent="0.3">
      <c r="B7" s="3"/>
      <c r="C7" s="4"/>
      <c r="D7" s="2"/>
      <c r="E7" s="2"/>
      <c r="F7" s="5"/>
    </row>
    <row r="8" spans="1:12" x14ac:dyDescent="0.3">
      <c r="B8" s="79">
        <v>3</v>
      </c>
      <c r="C8" s="80" t="s">
        <v>0</v>
      </c>
      <c r="D8" s="79"/>
      <c r="E8" s="79"/>
      <c r="F8" s="84">
        <f>F11+F9+F10</f>
        <v>1139712.6199999999</v>
      </c>
      <c r="G8" s="84">
        <f t="shared" ref="G8:K8" si="1">G11+G9+G10</f>
        <v>354778.47</v>
      </c>
      <c r="H8" s="84">
        <f t="shared" si="1"/>
        <v>1494491.0899999999</v>
      </c>
      <c r="I8" s="84">
        <f t="shared" si="1"/>
        <v>1013999.3800000001</v>
      </c>
      <c r="J8" s="84">
        <f t="shared" si="1"/>
        <v>282663.67</v>
      </c>
      <c r="K8" s="84">
        <f t="shared" si="1"/>
        <v>731335.71</v>
      </c>
      <c r="L8" s="84">
        <f>L11+L9+L10</f>
        <v>-480491.7099999999</v>
      </c>
    </row>
    <row r="9" spans="1:12" s="11" customFormat="1" x14ac:dyDescent="0.3">
      <c r="B9" s="49">
        <v>36001</v>
      </c>
      <c r="C9" s="40" t="s">
        <v>32</v>
      </c>
      <c r="D9" s="41"/>
      <c r="E9" s="41"/>
      <c r="F9" s="42">
        <v>150</v>
      </c>
      <c r="G9" s="42">
        <v>0</v>
      </c>
      <c r="H9" s="42">
        <f>F9+G9</f>
        <v>150</v>
      </c>
      <c r="I9" s="42">
        <v>0</v>
      </c>
      <c r="J9" s="42">
        <f>I9-K9</f>
        <v>0</v>
      </c>
      <c r="K9" s="42">
        <v>0</v>
      </c>
      <c r="L9" s="42">
        <f>I9-H9</f>
        <v>-150</v>
      </c>
    </row>
    <row r="10" spans="1:12" s="11" customFormat="1" x14ac:dyDescent="0.3">
      <c r="B10" s="31">
        <v>38900</v>
      </c>
      <c r="C10" s="32" t="s">
        <v>33</v>
      </c>
      <c r="D10" s="33"/>
      <c r="E10" s="33"/>
      <c r="F10" s="93">
        <v>0</v>
      </c>
      <c r="G10" s="93">
        <v>0</v>
      </c>
      <c r="H10" s="42">
        <f>F10+G10</f>
        <v>0</v>
      </c>
      <c r="I10" s="42">
        <f>561.4+6993</f>
        <v>7554.4</v>
      </c>
      <c r="J10" s="42">
        <f>I10-K10</f>
        <v>0</v>
      </c>
      <c r="K10" s="42">
        <f>561.4+6993</f>
        <v>7554.4</v>
      </c>
      <c r="L10" s="42">
        <f>I10-H10</f>
        <v>7554.4</v>
      </c>
    </row>
    <row r="11" spans="1:12" x14ac:dyDescent="0.3">
      <c r="B11" s="31">
        <v>39900</v>
      </c>
      <c r="C11" s="32" t="s">
        <v>34</v>
      </c>
      <c r="D11" s="33"/>
      <c r="E11" s="33"/>
      <c r="F11" s="34">
        <f t="shared" ref="F11:L11" si="2">SUM(F12:F28)</f>
        <v>1139562.6199999999</v>
      </c>
      <c r="G11" s="34">
        <f t="shared" si="2"/>
        <v>354778.47</v>
      </c>
      <c r="H11" s="34">
        <f t="shared" si="2"/>
        <v>1494341.0899999999</v>
      </c>
      <c r="I11" s="34">
        <f t="shared" si="2"/>
        <v>1006444.9800000001</v>
      </c>
      <c r="J11" s="34">
        <f t="shared" si="2"/>
        <v>282663.67</v>
      </c>
      <c r="K11" s="34">
        <f t="shared" si="2"/>
        <v>723781.30999999994</v>
      </c>
      <c r="L11" s="34">
        <f t="shared" si="2"/>
        <v>-487896.10999999993</v>
      </c>
    </row>
    <row r="12" spans="1:12" x14ac:dyDescent="0.3">
      <c r="B12" s="53"/>
      <c r="C12" s="7"/>
      <c r="D12" s="55" t="s">
        <v>168</v>
      </c>
      <c r="E12" s="55" t="s">
        <v>10</v>
      </c>
      <c r="F12" s="23">
        <v>556080</v>
      </c>
      <c r="G12" s="23">
        <v>34730.699999999997</v>
      </c>
      <c r="H12" s="23">
        <f>F12+G12</f>
        <v>590810.69999999995</v>
      </c>
      <c r="I12" s="23">
        <f>59081.07+206783.75+110290.34+206783.75</f>
        <v>582938.91</v>
      </c>
      <c r="J12" s="23">
        <f>I12-K12</f>
        <v>0</v>
      </c>
      <c r="K12" s="23">
        <f>59081.07+206783.75+110290.34+206783.75</f>
        <v>582938.91</v>
      </c>
      <c r="L12" s="23">
        <f>I12-H12</f>
        <v>-7871.7899999999208</v>
      </c>
    </row>
    <row r="13" spans="1:12" x14ac:dyDescent="0.3">
      <c r="B13" s="53"/>
      <c r="C13" s="7"/>
      <c r="D13" s="59" t="s">
        <v>167</v>
      </c>
      <c r="E13" s="59" t="s">
        <v>10</v>
      </c>
      <c r="F13" s="23">
        <v>0</v>
      </c>
      <c r="G13" s="23">
        <v>0</v>
      </c>
      <c r="H13" s="23">
        <v>0</v>
      </c>
      <c r="I13" s="23">
        <v>0</v>
      </c>
      <c r="J13" s="23">
        <f t="shared" ref="J13:J28" si="3">I13-K13</f>
        <v>0</v>
      </c>
      <c r="K13" s="23">
        <v>0</v>
      </c>
      <c r="L13" s="23">
        <f t="shared" ref="L13:L28" si="4">I13-H13</f>
        <v>0</v>
      </c>
    </row>
    <row r="14" spans="1:12" s="7" customFormat="1" x14ac:dyDescent="0.3">
      <c r="B14" s="65"/>
      <c r="D14" s="59" t="s">
        <v>35</v>
      </c>
      <c r="E14" s="59" t="s">
        <v>36</v>
      </c>
      <c r="F14" s="109">
        <v>113808.72</v>
      </c>
      <c r="G14" s="109">
        <v>0</v>
      </c>
      <c r="H14" s="23">
        <f t="shared" ref="H14:H27" si="5">F14+G14</f>
        <v>113808.72</v>
      </c>
      <c r="I14" s="109">
        <v>0</v>
      </c>
      <c r="J14" s="23">
        <f t="shared" si="3"/>
        <v>0</v>
      </c>
      <c r="K14" s="109">
        <v>0</v>
      </c>
      <c r="L14" s="23">
        <f t="shared" si="4"/>
        <v>-113808.72</v>
      </c>
    </row>
    <row r="15" spans="1:12" ht="15.75" customHeight="1" x14ac:dyDescent="0.3">
      <c r="B15" s="65"/>
      <c r="C15" s="7"/>
      <c r="D15" s="59" t="s">
        <v>37</v>
      </c>
      <c r="E15" s="59" t="s">
        <v>36</v>
      </c>
      <c r="F15" s="109">
        <v>25000</v>
      </c>
      <c r="G15" s="109">
        <v>0</v>
      </c>
      <c r="H15" s="23">
        <f t="shared" si="5"/>
        <v>25000</v>
      </c>
      <c r="I15" s="109">
        <v>0</v>
      </c>
      <c r="J15" s="23">
        <f t="shared" si="3"/>
        <v>0</v>
      </c>
      <c r="K15" s="109">
        <v>0</v>
      </c>
      <c r="L15" s="23">
        <f t="shared" si="4"/>
        <v>-25000</v>
      </c>
    </row>
    <row r="16" spans="1:12" s="26" customFormat="1" ht="15.75" customHeight="1" x14ac:dyDescent="0.3">
      <c r="B16" s="98"/>
      <c r="D16" s="59" t="s">
        <v>38</v>
      </c>
      <c r="E16" s="59" t="s">
        <v>39</v>
      </c>
      <c r="F16" s="109">
        <v>230822</v>
      </c>
      <c r="G16" s="109">
        <v>0</v>
      </c>
      <c r="H16" s="23">
        <f t="shared" si="5"/>
        <v>230822</v>
      </c>
      <c r="I16" s="109">
        <v>0</v>
      </c>
      <c r="J16" s="23">
        <f t="shared" si="3"/>
        <v>0</v>
      </c>
      <c r="K16" s="109">
        <v>0</v>
      </c>
      <c r="L16" s="23">
        <f t="shared" si="4"/>
        <v>-230822</v>
      </c>
    </row>
    <row r="17" spans="2:12" ht="15.75" customHeight="1" x14ac:dyDescent="0.3">
      <c r="B17" s="65"/>
      <c r="C17" s="7"/>
      <c r="D17" s="59" t="s">
        <v>40</v>
      </c>
      <c r="E17" s="59" t="s">
        <v>41</v>
      </c>
      <c r="F17" s="23">
        <v>26316.16</v>
      </c>
      <c r="G17" s="23">
        <v>3427.63</v>
      </c>
      <c r="H17" s="23">
        <f t="shared" si="5"/>
        <v>29743.79</v>
      </c>
      <c r="I17" s="23">
        <v>0</v>
      </c>
      <c r="J17" s="23">
        <f t="shared" si="3"/>
        <v>0</v>
      </c>
      <c r="K17" s="23">
        <v>0</v>
      </c>
      <c r="L17" s="23">
        <f t="shared" si="4"/>
        <v>-29743.79</v>
      </c>
    </row>
    <row r="18" spans="2:12" ht="15.75" customHeight="1" x14ac:dyDescent="0.3">
      <c r="B18" s="65"/>
      <c r="C18" s="7"/>
      <c r="D18" s="59" t="s">
        <v>42</v>
      </c>
      <c r="E18" s="59" t="s">
        <v>43</v>
      </c>
      <c r="F18" s="23">
        <v>23925.77</v>
      </c>
      <c r="G18" s="23">
        <v>0</v>
      </c>
      <c r="H18" s="23">
        <f t="shared" si="5"/>
        <v>23925.77</v>
      </c>
      <c r="I18" s="23">
        <v>0</v>
      </c>
      <c r="J18" s="23">
        <f t="shared" si="3"/>
        <v>0</v>
      </c>
      <c r="K18" s="23">
        <v>0</v>
      </c>
      <c r="L18" s="23">
        <f t="shared" si="4"/>
        <v>-23925.77</v>
      </c>
    </row>
    <row r="19" spans="2:12" ht="15.75" customHeight="1" x14ac:dyDescent="0.3">
      <c r="B19" s="65"/>
      <c r="C19" s="7"/>
      <c r="D19" s="59" t="s">
        <v>178</v>
      </c>
      <c r="E19" s="59" t="s">
        <v>177</v>
      </c>
      <c r="F19" s="23">
        <v>0</v>
      </c>
      <c r="G19" s="23">
        <v>209270.28</v>
      </c>
      <c r="H19" s="23">
        <f t="shared" ref="H19" si="6">F19+G19</f>
        <v>209270.28</v>
      </c>
      <c r="I19" s="23">
        <f>209270.28</f>
        <v>209270.28</v>
      </c>
      <c r="J19" s="23">
        <f t="shared" ref="J19" si="7">I19-K19</f>
        <v>209270.28</v>
      </c>
      <c r="K19" s="23">
        <v>0</v>
      </c>
      <c r="L19" s="23">
        <f t="shared" ref="L19" si="8">I19-H19</f>
        <v>0</v>
      </c>
    </row>
    <row r="20" spans="2:12" ht="15.75" customHeight="1" x14ac:dyDescent="0.3">
      <c r="B20" s="65"/>
      <c r="C20" s="7"/>
      <c r="D20" s="59" t="s">
        <v>44</v>
      </c>
      <c r="E20" s="59" t="s">
        <v>45</v>
      </c>
      <c r="F20" s="23">
        <v>0</v>
      </c>
      <c r="G20" s="23">
        <v>0</v>
      </c>
      <c r="H20" s="23">
        <f t="shared" si="5"/>
        <v>0</v>
      </c>
      <c r="I20" s="23">
        <v>0</v>
      </c>
      <c r="J20" s="23">
        <f t="shared" si="3"/>
        <v>0</v>
      </c>
      <c r="K20" s="23">
        <v>0</v>
      </c>
      <c r="L20" s="23">
        <f t="shared" si="4"/>
        <v>0</v>
      </c>
    </row>
    <row r="21" spans="2:12" ht="15.75" customHeight="1" x14ac:dyDescent="0.3">
      <c r="B21" s="65"/>
      <c r="C21" s="7"/>
      <c r="D21" s="59" t="s">
        <v>46</v>
      </c>
      <c r="E21" s="59" t="s">
        <v>45</v>
      </c>
      <c r="F21" s="23">
        <v>57838.67</v>
      </c>
      <c r="G21" s="23">
        <v>0</v>
      </c>
      <c r="H21" s="23">
        <f t="shared" si="5"/>
        <v>57838.67</v>
      </c>
      <c r="I21" s="23">
        <v>0</v>
      </c>
      <c r="J21" s="23">
        <f t="shared" si="3"/>
        <v>0</v>
      </c>
      <c r="K21" s="23">
        <v>0</v>
      </c>
      <c r="L21" s="23">
        <f t="shared" si="4"/>
        <v>-57838.67</v>
      </c>
    </row>
    <row r="22" spans="2:12" ht="15.75" customHeight="1" x14ac:dyDescent="0.3">
      <c r="B22" s="65"/>
      <c r="C22" s="7"/>
      <c r="D22" s="59" t="s">
        <v>47</v>
      </c>
      <c r="E22" s="59" t="s">
        <v>45</v>
      </c>
      <c r="F22" s="23">
        <v>15548.77</v>
      </c>
      <c r="G22" s="23">
        <v>0</v>
      </c>
      <c r="H22" s="23">
        <f t="shared" si="5"/>
        <v>15548.77</v>
      </c>
      <c r="I22" s="23">
        <f>3887.19*4</f>
        <v>15548.76</v>
      </c>
      <c r="J22" s="23">
        <f t="shared" si="3"/>
        <v>3887.1900000000005</v>
      </c>
      <c r="K22" s="23">
        <f>3887.19*3</f>
        <v>11661.57</v>
      </c>
      <c r="L22" s="23">
        <f t="shared" si="4"/>
        <v>-1.0000000000218279E-2</v>
      </c>
    </row>
    <row r="23" spans="2:12" ht="15.75" customHeight="1" x14ac:dyDescent="0.3">
      <c r="B23" s="65"/>
      <c r="C23" s="7"/>
      <c r="D23" s="59" t="s">
        <v>48</v>
      </c>
      <c r="E23" s="59" t="s">
        <v>49</v>
      </c>
      <c r="F23" s="23">
        <v>50418.13</v>
      </c>
      <c r="G23" s="23">
        <v>0</v>
      </c>
      <c r="H23" s="23">
        <f t="shared" si="5"/>
        <v>50418.13</v>
      </c>
      <c r="I23" s="23">
        <f>31511.33+31511.34</f>
        <v>63022.67</v>
      </c>
      <c r="J23" s="23">
        <f t="shared" si="3"/>
        <v>31511.339999999997</v>
      </c>
      <c r="K23" s="23">
        <f>31511.33</f>
        <v>31511.33</v>
      </c>
      <c r="L23" s="23">
        <f t="shared" si="4"/>
        <v>12604.54</v>
      </c>
    </row>
    <row r="24" spans="2:12" ht="15.75" customHeight="1" x14ac:dyDescent="0.3">
      <c r="B24" s="65"/>
      <c r="C24" s="7"/>
      <c r="D24" s="59" t="s">
        <v>48</v>
      </c>
      <c r="E24" s="59" t="s">
        <v>49</v>
      </c>
      <c r="F24" s="23">
        <v>0</v>
      </c>
      <c r="G24" s="23">
        <v>0</v>
      </c>
      <c r="H24" s="23">
        <f t="shared" si="5"/>
        <v>0</v>
      </c>
      <c r="I24" s="23">
        <v>0</v>
      </c>
      <c r="J24" s="23">
        <f t="shared" si="3"/>
        <v>0</v>
      </c>
      <c r="K24" s="23">
        <v>0</v>
      </c>
      <c r="L24" s="23">
        <f t="shared" si="4"/>
        <v>0</v>
      </c>
    </row>
    <row r="25" spans="2:12" ht="15.75" customHeight="1" x14ac:dyDescent="0.3">
      <c r="B25" s="65"/>
      <c r="C25" s="7"/>
      <c r="D25" s="59" t="s">
        <v>179</v>
      </c>
      <c r="E25" s="59" t="s">
        <v>12</v>
      </c>
      <c r="F25" s="23">
        <v>0</v>
      </c>
      <c r="G25" s="23">
        <v>13618</v>
      </c>
      <c r="H25" s="23">
        <f t="shared" si="5"/>
        <v>13618</v>
      </c>
      <c r="I25" s="23">
        <v>13618</v>
      </c>
      <c r="J25" s="23">
        <f t="shared" si="3"/>
        <v>0</v>
      </c>
      <c r="K25" s="23">
        <f>13618</f>
        <v>13618</v>
      </c>
      <c r="L25" s="23">
        <f t="shared" si="4"/>
        <v>0</v>
      </c>
    </row>
    <row r="26" spans="2:12" ht="15.75" customHeight="1" x14ac:dyDescent="0.3">
      <c r="B26" s="65"/>
      <c r="C26" s="7"/>
      <c r="D26" s="59" t="s">
        <v>180</v>
      </c>
      <c r="E26" s="59" t="s">
        <v>50</v>
      </c>
      <c r="F26" s="23">
        <v>0</v>
      </c>
      <c r="G26" s="23">
        <v>0</v>
      </c>
      <c r="H26" s="23">
        <f t="shared" si="5"/>
        <v>0</v>
      </c>
      <c r="I26" s="23">
        <v>12174</v>
      </c>
      <c r="J26" s="23">
        <f t="shared" si="3"/>
        <v>12174</v>
      </c>
      <c r="K26" s="23">
        <v>0</v>
      </c>
      <c r="L26" s="23">
        <f t="shared" si="4"/>
        <v>12174</v>
      </c>
    </row>
    <row r="27" spans="2:12" s="26" customFormat="1" ht="15.75" customHeight="1" x14ac:dyDescent="0.3">
      <c r="B27" s="98"/>
      <c r="D27" s="59" t="s">
        <v>182</v>
      </c>
      <c r="E27" s="59" t="s">
        <v>50</v>
      </c>
      <c r="F27" s="23">
        <v>12534</v>
      </c>
      <c r="G27" s="23">
        <v>0</v>
      </c>
      <c r="H27" s="23">
        <f t="shared" si="5"/>
        <v>12534</v>
      </c>
      <c r="I27" s="23">
        <v>0</v>
      </c>
      <c r="J27" s="23">
        <f t="shared" si="3"/>
        <v>0</v>
      </c>
      <c r="K27" s="23">
        <v>0</v>
      </c>
      <c r="L27" s="23">
        <f t="shared" si="4"/>
        <v>-12534</v>
      </c>
    </row>
    <row r="28" spans="2:12" x14ac:dyDescent="0.3">
      <c r="D28" s="59" t="s">
        <v>51</v>
      </c>
      <c r="E28" s="59" t="s">
        <v>52</v>
      </c>
      <c r="F28" s="23">
        <v>27270.400000000001</v>
      </c>
      <c r="G28" s="23">
        <v>93731.86</v>
      </c>
      <c r="H28" s="23">
        <f>F28+G28</f>
        <v>121002.26000000001</v>
      </c>
      <c r="I28" s="23">
        <v>109872.36</v>
      </c>
      <c r="J28" s="23">
        <f t="shared" si="3"/>
        <v>25820.86</v>
      </c>
      <c r="K28" s="23">
        <v>84051.5</v>
      </c>
      <c r="L28" s="23">
        <f t="shared" si="4"/>
        <v>-11129.900000000009</v>
      </c>
    </row>
    <row r="29" spans="2:12" ht="9.75" customHeight="1" x14ac:dyDescent="0.3"/>
    <row r="31" spans="2:12" x14ac:dyDescent="0.3">
      <c r="E31" s="101"/>
      <c r="I31" s="9"/>
    </row>
    <row r="32" spans="2:12" x14ac:dyDescent="0.3">
      <c r="E32" s="101"/>
      <c r="I32" s="9"/>
    </row>
    <row r="33" spans="5:11" x14ac:dyDescent="0.3">
      <c r="E33" s="101"/>
      <c r="I33" s="9"/>
    </row>
    <row r="34" spans="5:11" x14ac:dyDescent="0.3">
      <c r="E34" s="101"/>
      <c r="I34" s="9"/>
    </row>
    <row r="35" spans="5:11" x14ac:dyDescent="0.3">
      <c r="E35" s="101"/>
      <c r="K35" s="9"/>
    </row>
    <row r="36" spans="5:11" x14ac:dyDescent="0.3">
      <c r="E36" s="101"/>
      <c r="K36" s="9"/>
    </row>
    <row r="37" spans="5:11" ht="14.25" customHeight="1" x14ac:dyDescent="0.3">
      <c r="E37" s="101"/>
      <c r="K37" s="9"/>
    </row>
    <row r="38" spans="5:11" ht="16.5" x14ac:dyDescent="0.3">
      <c r="E38" s="101"/>
      <c r="G38" s="100"/>
      <c r="J38" s="108"/>
    </row>
    <row r="39" spans="5:11" x14ac:dyDescent="0.3">
      <c r="E39" s="101"/>
      <c r="G39" s="100"/>
    </row>
    <row r="40" spans="5:11" ht="16.5" x14ac:dyDescent="0.3">
      <c r="E40" s="101"/>
      <c r="G40" s="100"/>
      <c r="J40" s="108"/>
    </row>
    <row r="41" spans="5:11" ht="16.5" x14ac:dyDescent="0.3">
      <c r="G41" s="100"/>
      <c r="J41" s="108"/>
    </row>
    <row r="42" spans="5:11" ht="16.5" x14ac:dyDescent="0.3">
      <c r="G42" s="100"/>
      <c r="J42" s="108"/>
    </row>
    <row r="43" spans="5:11" x14ac:dyDescent="0.3">
      <c r="G43" s="100"/>
    </row>
    <row r="44" spans="5:11" x14ac:dyDescent="0.3">
      <c r="G44" s="100"/>
    </row>
    <row r="45" spans="5:11" x14ac:dyDescent="0.3">
      <c r="G45" s="100"/>
    </row>
    <row r="46" spans="5:11" x14ac:dyDescent="0.3">
      <c r="G46" s="100"/>
    </row>
    <row r="47" spans="5:11" x14ac:dyDescent="0.3">
      <c r="G47" s="100"/>
    </row>
    <row r="48" spans="5:11" x14ac:dyDescent="0.3">
      <c r="G48" s="100"/>
    </row>
    <row r="49" spans="7:7" x14ac:dyDescent="0.3">
      <c r="G49" s="100"/>
    </row>
    <row r="50" spans="7:7" x14ac:dyDescent="0.3">
      <c r="G50" s="100"/>
    </row>
    <row r="51" spans="7:7" x14ac:dyDescent="0.3">
      <c r="G51" s="100"/>
    </row>
    <row r="52" spans="7:7" x14ac:dyDescent="0.3">
      <c r="G52" s="100"/>
    </row>
    <row r="53" spans="7:7" x14ac:dyDescent="0.3">
      <c r="G53" s="100"/>
    </row>
    <row r="54" spans="7:7" x14ac:dyDescent="0.3">
      <c r="G54" s="100"/>
    </row>
    <row r="55" spans="7:7" x14ac:dyDescent="0.3">
      <c r="G55" s="100"/>
    </row>
  </sheetData>
  <phoneticPr fontId="2" type="noConversion"/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&amp;CLiquidació pressupost 2024 Institut Metròpoli_31/12/2024&amp;R2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1"/>
  <sheetViews>
    <sheetView showGridLines="0" view="pageLayout" zoomScaleNormal="100" workbookViewId="0">
      <selection activeCell="B7" sqref="B7"/>
    </sheetView>
  </sheetViews>
  <sheetFormatPr defaultColWidth="11.5703125" defaultRowHeight="15" x14ac:dyDescent="0.3"/>
  <cols>
    <col min="1" max="1" width="1.85546875" style="1" customWidth="1"/>
    <col min="2" max="2" width="10.7109375" style="1" customWidth="1"/>
    <col min="3" max="3" width="3.5703125" style="1" customWidth="1"/>
    <col min="4" max="4" width="44" style="1" customWidth="1"/>
    <col min="5" max="5" width="5.28515625" style="1" customWidth="1"/>
    <col min="6" max="6" width="14.28515625" style="1" customWidth="1"/>
    <col min="7" max="7" width="12.42578125" style="1" customWidth="1"/>
    <col min="8" max="9" width="14.42578125" style="1" customWidth="1"/>
    <col min="10" max="10" width="12.7109375" style="1" customWidth="1"/>
    <col min="11" max="11" width="13" style="1" customWidth="1"/>
    <col min="12" max="12" width="10.5703125" style="1" bestFit="1" customWidth="1"/>
    <col min="13" max="16384" width="11.5703125" style="1"/>
  </cols>
  <sheetData>
    <row r="1" spans="1:12" ht="39.75" x14ac:dyDescent="0.3">
      <c r="B1" s="86"/>
      <c r="G1"/>
    </row>
    <row r="2" spans="1:12" ht="15.75" customHeight="1" x14ac:dyDescent="0.3"/>
    <row r="3" spans="1:12" s="11" customFormat="1" x14ac:dyDescent="0.3">
      <c r="A3" s="94" t="s">
        <v>53</v>
      </c>
      <c r="B3" s="94"/>
      <c r="C3" s="94"/>
      <c r="D3" s="94"/>
      <c r="E3" s="94"/>
      <c r="F3" s="87">
        <f>F7</f>
        <v>3292944.16</v>
      </c>
      <c r="G3" s="88">
        <f t="shared" ref="G3:L3" si="0">G7</f>
        <v>668108.06999999995</v>
      </c>
      <c r="H3" s="88">
        <f>H7</f>
        <v>3961052.2300000004</v>
      </c>
      <c r="I3" s="88">
        <f t="shared" si="0"/>
        <v>3664221.06</v>
      </c>
      <c r="J3" s="88">
        <f t="shared" si="0"/>
        <v>383553.20999999996</v>
      </c>
      <c r="K3" s="88">
        <f t="shared" si="0"/>
        <v>3280667.85</v>
      </c>
      <c r="L3" s="88">
        <f t="shared" si="0"/>
        <v>-296831.17</v>
      </c>
    </row>
    <row r="5" spans="1:12" s="29" customFormat="1" ht="30" x14ac:dyDescent="0.3">
      <c r="A5" s="28"/>
      <c r="B5" s="75" t="s">
        <v>31</v>
      </c>
      <c r="C5" s="76"/>
      <c r="D5" s="76" t="s">
        <v>8</v>
      </c>
      <c r="E5" s="76"/>
      <c r="F5" s="77" t="s">
        <v>54</v>
      </c>
      <c r="G5" s="77" t="s">
        <v>16</v>
      </c>
      <c r="H5" s="77" t="s">
        <v>17</v>
      </c>
      <c r="I5" s="77" t="s">
        <v>18</v>
      </c>
      <c r="J5" s="77" t="s">
        <v>19</v>
      </c>
      <c r="K5" s="77" t="s">
        <v>20</v>
      </c>
      <c r="L5" s="77" t="s">
        <v>21</v>
      </c>
    </row>
    <row r="7" spans="1:12" x14ac:dyDescent="0.3">
      <c r="B7" s="79">
        <v>4</v>
      </c>
      <c r="C7" s="80" t="s">
        <v>1</v>
      </c>
      <c r="D7" s="79"/>
      <c r="E7" s="79"/>
      <c r="F7" s="84">
        <f>F8+F13+F22+F27+F31+F18+F15+F35+F20</f>
        <v>3292944.16</v>
      </c>
      <c r="G7" s="84">
        <f t="shared" ref="G7:L7" si="1">G8+G13+G22+G27+G31+G18+G15+G35+G20</f>
        <v>668108.06999999995</v>
      </c>
      <c r="H7" s="84">
        <f t="shared" si="1"/>
        <v>3961052.2300000004</v>
      </c>
      <c r="I7" s="84">
        <f t="shared" si="1"/>
        <v>3664221.06</v>
      </c>
      <c r="J7" s="84">
        <f t="shared" si="1"/>
        <v>383553.20999999996</v>
      </c>
      <c r="K7" s="84">
        <f t="shared" si="1"/>
        <v>3280667.85</v>
      </c>
      <c r="L7" s="84">
        <f t="shared" si="1"/>
        <v>-296831.17</v>
      </c>
    </row>
    <row r="8" spans="1:12" x14ac:dyDescent="0.3">
      <c r="B8" s="39">
        <v>42190</v>
      </c>
      <c r="C8" s="40" t="s">
        <v>55</v>
      </c>
      <c r="D8" s="41"/>
      <c r="E8" s="41"/>
      <c r="F8" s="42">
        <f>SUM(F9:F12)</f>
        <v>0</v>
      </c>
      <c r="G8" s="42">
        <f t="shared" ref="G8:L8" si="2">SUM(G9:G12)</f>
        <v>115300.6</v>
      </c>
      <c r="H8" s="42">
        <f t="shared" si="2"/>
        <v>115300.6</v>
      </c>
      <c r="I8" s="42">
        <f>SUM(I9:I12)</f>
        <v>70820.52</v>
      </c>
      <c r="J8" s="42">
        <f t="shared" si="2"/>
        <v>0</v>
      </c>
      <c r="K8" s="42">
        <f>SUM(K9:K12)</f>
        <v>70820.52</v>
      </c>
      <c r="L8" s="42">
        <f t="shared" si="2"/>
        <v>-44480.08</v>
      </c>
    </row>
    <row r="9" spans="1:12" x14ac:dyDescent="0.3">
      <c r="B9" s="7"/>
      <c r="D9" s="46" t="s">
        <v>56</v>
      </c>
      <c r="E9" s="46"/>
      <c r="F9" s="47">
        <v>0</v>
      </c>
      <c r="G9" s="23">
        <f>37400+30000</f>
        <v>67400</v>
      </c>
      <c r="H9" s="23">
        <f>F9+G9</f>
        <v>67400</v>
      </c>
      <c r="I9" s="23">
        <f>37400+30000</f>
        <v>67400</v>
      </c>
      <c r="J9" s="23">
        <f>I9-K9</f>
        <v>0</v>
      </c>
      <c r="K9" s="23">
        <f>37400+30000</f>
        <v>67400</v>
      </c>
      <c r="L9" s="23">
        <f>I9-H9</f>
        <v>0</v>
      </c>
    </row>
    <row r="10" spans="1:12" x14ac:dyDescent="0.3">
      <c r="B10" s="7"/>
      <c r="D10" s="57" t="s">
        <v>163</v>
      </c>
      <c r="E10" s="57"/>
      <c r="F10" s="23">
        <v>0</v>
      </c>
      <c r="G10" s="23">
        <v>5021.5</v>
      </c>
      <c r="H10" s="23">
        <f t="shared" ref="H10:H12" si="3">F10+G10</f>
        <v>5021.5</v>
      </c>
      <c r="I10" s="23">
        <v>5021.5</v>
      </c>
      <c r="J10" s="23">
        <f>I10-K10</f>
        <v>0</v>
      </c>
      <c r="K10" s="23">
        <v>5021.5</v>
      </c>
      <c r="L10" s="23">
        <f>I10-H10</f>
        <v>0</v>
      </c>
    </row>
    <row r="11" spans="1:12" x14ac:dyDescent="0.3">
      <c r="B11" s="7"/>
      <c r="D11" s="57" t="s">
        <v>170</v>
      </c>
      <c r="E11" s="57"/>
      <c r="F11" s="23">
        <v>0</v>
      </c>
      <c r="G11" s="23">
        <v>42879.1</v>
      </c>
      <c r="H11" s="23">
        <f t="shared" ref="H11" si="4">F11+G11</f>
        <v>42879.1</v>
      </c>
      <c r="I11" s="23">
        <v>0</v>
      </c>
      <c r="J11" s="23">
        <f>I11-K11</f>
        <v>0</v>
      </c>
      <c r="K11" s="23">
        <v>0</v>
      </c>
      <c r="L11" s="23">
        <f>I11-H11</f>
        <v>-42879.1</v>
      </c>
    </row>
    <row r="12" spans="1:12" x14ac:dyDescent="0.3">
      <c r="B12" s="43"/>
      <c r="D12" s="48" t="s">
        <v>57</v>
      </c>
      <c r="E12" s="48"/>
      <c r="F12" s="45">
        <v>0</v>
      </c>
      <c r="G12" s="23">
        <v>0</v>
      </c>
      <c r="H12" s="23">
        <f t="shared" si="3"/>
        <v>0</v>
      </c>
      <c r="I12" s="23">
        <v>-1600.98</v>
      </c>
      <c r="J12" s="23">
        <f>I12-K12</f>
        <v>0</v>
      </c>
      <c r="K12" s="23">
        <v>-1600.98</v>
      </c>
      <c r="L12" s="23">
        <f>I12-H12</f>
        <v>-1600.98</v>
      </c>
    </row>
    <row r="13" spans="1:12" x14ac:dyDescent="0.3">
      <c r="B13" s="39">
        <v>45080</v>
      </c>
      <c r="C13" s="40" t="s">
        <v>58</v>
      </c>
      <c r="D13" s="41"/>
      <c r="E13" s="41"/>
      <c r="F13" s="42">
        <f>SUM(F14)</f>
        <v>40000</v>
      </c>
      <c r="G13" s="42">
        <f t="shared" ref="G13:L13" si="5">SUM(G14)</f>
        <v>0</v>
      </c>
      <c r="H13" s="42">
        <f t="shared" si="5"/>
        <v>40000</v>
      </c>
      <c r="I13" s="42">
        <f t="shared" si="5"/>
        <v>40000</v>
      </c>
      <c r="J13" s="42">
        <f t="shared" si="5"/>
        <v>40000</v>
      </c>
      <c r="K13" s="42">
        <f t="shared" si="5"/>
        <v>0</v>
      </c>
      <c r="L13" s="42">
        <f t="shared" si="5"/>
        <v>0</v>
      </c>
    </row>
    <row r="14" spans="1:12" x14ac:dyDescent="0.3">
      <c r="B14" s="43"/>
      <c r="D14" s="44" t="s">
        <v>59</v>
      </c>
      <c r="E14" s="44"/>
      <c r="F14" s="45">
        <v>40000</v>
      </c>
      <c r="G14" s="23">
        <v>0</v>
      </c>
      <c r="H14" s="23">
        <f>F14+G14</f>
        <v>40000</v>
      </c>
      <c r="I14" s="23">
        <v>40000</v>
      </c>
      <c r="J14" s="23">
        <f>I14-K14</f>
        <v>40000</v>
      </c>
      <c r="K14" s="23">
        <v>0</v>
      </c>
      <c r="L14" s="23">
        <f>I14-H14</f>
        <v>0</v>
      </c>
    </row>
    <row r="15" spans="1:12" x14ac:dyDescent="0.3">
      <c r="B15" s="39">
        <v>45100</v>
      </c>
      <c r="C15" s="40" t="s">
        <v>219</v>
      </c>
      <c r="D15" s="41"/>
      <c r="E15" s="41"/>
      <c r="F15" s="42">
        <f>SUM(F16:F17)</f>
        <v>113808.72</v>
      </c>
      <c r="G15" s="42">
        <f t="shared" ref="G15:L15" si="6">SUM(G16:G17)</f>
        <v>0</v>
      </c>
      <c r="H15" s="42">
        <f t="shared" si="6"/>
        <v>113808.72</v>
      </c>
      <c r="I15" s="42">
        <f t="shared" si="6"/>
        <v>0</v>
      </c>
      <c r="J15" s="42">
        <f t="shared" si="6"/>
        <v>0</v>
      </c>
      <c r="K15" s="42">
        <f t="shared" si="6"/>
        <v>0</v>
      </c>
      <c r="L15" s="42">
        <f t="shared" si="6"/>
        <v>-113808.72</v>
      </c>
    </row>
    <row r="16" spans="1:12" x14ac:dyDescent="0.3">
      <c r="B16" s="7"/>
      <c r="D16" s="46" t="s">
        <v>60</v>
      </c>
      <c r="E16" s="46"/>
      <c r="F16" s="47">
        <v>56904.36</v>
      </c>
      <c r="G16" s="23">
        <v>0</v>
      </c>
      <c r="H16" s="23">
        <f t="shared" ref="H16:H17" si="7">F16+G16</f>
        <v>56904.36</v>
      </c>
      <c r="I16" s="23">
        <v>0</v>
      </c>
      <c r="J16" s="23">
        <f t="shared" ref="J16:J17" si="8">I16-K16</f>
        <v>0</v>
      </c>
      <c r="K16" s="23">
        <v>0</v>
      </c>
      <c r="L16" s="23">
        <f t="shared" ref="L16:L17" si="9">I16-H16</f>
        <v>-56904.36</v>
      </c>
    </row>
    <row r="17" spans="2:12" x14ac:dyDescent="0.3">
      <c r="B17" s="43"/>
      <c r="D17" s="48" t="s">
        <v>61</v>
      </c>
      <c r="E17" s="48"/>
      <c r="F17" s="45">
        <v>56904.36</v>
      </c>
      <c r="G17" s="23">
        <v>0</v>
      </c>
      <c r="H17" s="23">
        <f t="shared" si="7"/>
        <v>56904.36</v>
      </c>
      <c r="I17" s="23">
        <v>0</v>
      </c>
      <c r="J17" s="23">
        <f t="shared" si="8"/>
        <v>0</v>
      </c>
      <c r="K17" s="23">
        <v>0</v>
      </c>
      <c r="L17" s="23">
        <f t="shared" si="9"/>
        <v>-56904.36</v>
      </c>
    </row>
    <row r="18" spans="2:12" x14ac:dyDescent="0.3">
      <c r="B18" s="49">
        <v>45300</v>
      </c>
      <c r="C18" s="50" t="s">
        <v>62</v>
      </c>
      <c r="D18" s="41"/>
      <c r="E18" s="41"/>
      <c r="F18" s="42">
        <f>SUM(F19:F19)</f>
        <v>21423</v>
      </c>
      <c r="G18" s="42">
        <f t="shared" ref="G18:L20" si="10">SUM(G19:G19)</f>
        <v>0</v>
      </c>
      <c r="H18" s="42">
        <f t="shared" si="10"/>
        <v>21423</v>
      </c>
      <c r="I18" s="42">
        <f t="shared" si="10"/>
        <v>21423</v>
      </c>
      <c r="J18" s="42">
        <f t="shared" si="10"/>
        <v>21423</v>
      </c>
      <c r="K18" s="42">
        <f t="shared" si="10"/>
        <v>0</v>
      </c>
      <c r="L18" s="42">
        <f t="shared" si="10"/>
        <v>0</v>
      </c>
    </row>
    <row r="19" spans="2:12" x14ac:dyDescent="0.3">
      <c r="B19" s="51"/>
      <c r="C19" s="16"/>
      <c r="D19" s="52" t="s">
        <v>63</v>
      </c>
      <c r="E19" s="52"/>
      <c r="F19" s="38">
        <v>21423</v>
      </c>
      <c r="G19" s="23">
        <v>0</v>
      </c>
      <c r="H19" s="23">
        <f>F19+G19</f>
        <v>21423</v>
      </c>
      <c r="I19" s="23">
        <v>21423</v>
      </c>
      <c r="J19" s="23">
        <f>I19-K19</f>
        <v>21423</v>
      </c>
      <c r="K19" s="23">
        <v>0</v>
      </c>
      <c r="L19" s="23">
        <f>I19-H19</f>
        <v>0</v>
      </c>
    </row>
    <row r="20" spans="2:12" x14ac:dyDescent="0.3">
      <c r="B20" s="49">
        <v>45303</v>
      </c>
      <c r="C20" s="50" t="s">
        <v>175</v>
      </c>
      <c r="D20" s="41"/>
      <c r="E20" s="41"/>
      <c r="F20" s="42">
        <f>SUM(F21:F21)</f>
        <v>0</v>
      </c>
      <c r="G20" s="42">
        <f t="shared" si="10"/>
        <v>9046.83</v>
      </c>
      <c r="H20" s="42">
        <f t="shared" si="10"/>
        <v>9046.83</v>
      </c>
      <c r="I20" s="42">
        <f t="shared" si="10"/>
        <v>0</v>
      </c>
      <c r="J20" s="42">
        <f t="shared" si="10"/>
        <v>0</v>
      </c>
      <c r="K20" s="42">
        <f t="shared" si="10"/>
        <v>0</v>
      </c>
      <c r="L20" s="42">
        <f t="shared" si="10"/>
        <v>-9046.83</v>
      </c>
    </row>
    <row r="21" spans="2:12" x14ac:dyDescent="0.3">
      <c r="B21" s="51"/>
      <c r="C21" s="16"/>
      <c r="D21" s="52" t="s">
        <v>176</v>
      </c>
      <c r="E21" s="52"/>
      <c r="F21" s="38">
        <v>0</v>
      </c>
      <c r="G21" s="23">
        <v>9046.83</v>
      </c>
      <c r="H21" s="23">
        <f>F21+G21</f>
        <v>9046.83</v>
      </c>
      <c r="I21" s="23">
        <v>0</v>
      </c>
      <c r="J21" s="23">
        <f>I21-K21</f>
        <v>0</v>
      </c>
      <c r="K21" s="23">
        <v>0</v>
      </c>
      <c r="L21" s="23">
        <f>I21-H21</f>
        <v>-9046.83</v>
      </c>
    </row>
    <row r="22" spans="2:12" x14ac:dyDescent="0.3">
      <c r="B22" s="49">
        <v>46101</v>
      </c>
      <c r="C22" s="50" t="s">
        <v>11</v>
      </c>
      <c r="D22" s="41"/>
      <c r="E22" s="41"/>
      <c r="F22" s="42">
        <f>SUM(F23:F26)</f>
        <v>213808.72</v>
      </c>
      <c r="G22" s="42">
        <f t="shared" ref="G22:L22" si="11">SUM(G23:G26)</f>
        <v>0</v>
      </c>
      <c r="H22" s="42">
        <f t="shared" si="11"/>
        <v>213808.72</v>
      </c>
      <c r="I22" s="42">
        <f t="shared" si="11"/>
        <v>213808.72</v>
      </c>
      <c r="J22" s="42">
        <f t="shared" si="11"/>
        <v>40000</v>
      </c>
      <c r="K22" s="42">
        <f t="shared" si="11"/>
        <v>173808.72</v>
      </c>
      <c r="L22" s="42">
        <f t="shared" si="11"/>
        <v>0</v>
      </c>
    </row>
    <row r="23" spans="2:12" x14ac:dyDescent="0.3">
      <c r="B23" s="53"/>
      <c r="C23" s="54"/>
      <c r="D23" s="97" t="s">
        <v>166</v>
      </c>
      <c r="E23" s="96"/>
      <c r="F23" s="20">
        <v>0</v>
      </c>
      <c r="G23" s="23">
        <v>0</v>
      </c>
      <c r="H23" s="23">
        <f t="shared" ref="H23" si="12">F23+G23</f>
        <v>0</v>
      </c>
      <c r="I23" s="23">
        <v>113808.72</v>
      </c>
      <c r="J23" s="23">
        <f t="shared" ref="J23" si="13">I23-K23</f>
        <v>0</v>
      </c>
      <c r="K23" s="23">
        <v>113808.72</v>
      </c>
      <c r="L23" s="23">
        <f t="shared" ref="L23" si="14">I23-H23</f>
        <v>113808.72</v>
      </c>
    </row>
    <row r="24" spans="2:12" x14ac:dyDescent="0.3">
      <c r="B24" s="53"/>
      <c r="C24" s="54"/>
      <c r="D24" s="55" t="s">
        <v>64</v>
      </c>
      <c r="E24" s="56"/>
      <c r="F24" s="17">
        <v>113808.72</v>
      </c>
      <c r="G24" s="23">
        <v>0</v>
      </c>
      <c r="H24" s="23">
        <f t="shared" ref="H24:H26" si="15">F24+G24</f>
        <v>113808.72</v>
      </c>
      <c r="I24" s="23">
        <v>0</v>
      </c>
      <c r="J24" s="23">
        <f t="shared" ref="J24:J26" si="16">I24-K24</f>
        <v>0</v>
      </c>
      <c r="K24" s="23">
        <v>0</v>
      </c>
      <c r="L24" s="23">
        <f t="shared" ref="L24:L26" si="17">I24-H24</f>
        <v>-113808.72</v>
      </c>
    </row>
    <row r="25" spans="2:12" x14ac:dyDescent="0.3">
      <c r="B25" s="53"/>
      <c r="C25" s="54"/>
      <c r="D25" s="55" t="s">
        <v>65</v>
      </c>
      <c r="E25" s="56"/>
      <c r="F25" s="20">
        <v>60000</v>
      </c>
      <c r="G25" s="23">
        <v>0</v>
      </c>
      <c r="H25" s="23">
        <f t="shared" si="15"/>
        <v>60000</v>
      </c>
      <c r="I25" s="23">
        <v>60000</v>
      </c>
      <c r="J25" s="23">
        <f t="shared" si="16"/>
        <v>0</v>
      </c>
      <c r="K25" s="23">
        <v>60000</v>
      </c>
      <c r="L25" s="23">
        <f t="shared" si="17"/>
        <v>0</v>
      </c>
    </row>
    <row r="26" spans="2:12" x14ac:dyDescent="0.3">
      <c r="B26" s="51"/>
      <c r="C26" s="6"/>
      <c r="D26" s="44" t="s">
        <v>59</v>
      </c>
      <c r="E26" s="57"/>
      <c r="F26" s="58">
        <v>40000</v>
      </c>
      <c r="G26" s="23">
        <v>0</v>
      </c>
      <c r="H26" s="23">
        <f t="shared" si="15"/>
        <v>40000</v>
      </c>
      <c r="I26" s="23">
        <v>40000</v>
      </c>
      <c r="J26" s="23">
        <f t="shared" si="16"/>
        <v>40000</v>
      </c>
      <c r="K26" s="23">
        <v>0</v>
      </c>
      <c r="L26" s="23">
        <f t="shared" si="17"/>
        <v>0</v>
      </c>
    </row>
    <row r="27" spans="2:12" x14ac:dyDescent="0.3">
      <c r="B27" s="49">
        <v>46201</v>
      </c>
      <c r="C27" s="50" t="s">
        <v>66</v>
      </c>
      <c r="D27" s="41"/>
      <c r="E27" s="41"/>
      <c r="F27" s="42">
        <f>SUM(F28:F30)</f>
        <v>1040095</v>
      </c>
      <c r="G27" s="42">
        <f t="shared" ref="G27:L27" si="18">SUM(G28:G30)</f>
        <v>234218.01</v>
      </c>
      <c r="H27" s="42">
        <f>SUM(H28:H30)</f>
        <v>1274313.01</v>
      </c>
      <c r="I27" s="42">
        <f t="shared" si="18"/>
        <v>1230174.01</v>
      </c>
      <c r="J27" s="42">
        <f t="shared" si="18"/>
        <v>132604.71999999997</v>
      </c>
      <c r="K27" s="42">
        <f t="shared" si="18"/>
        <v>1097569.29</v>
      </c>
      <c r="L27" s="42">
        <f t="shared" si="18"/>
        <v>-44139</v>
      </c>
    </row>
    <row r="28" spans="2:12" x14ac:dyDescent="0.3">
      <c r="B28" s="51"/>
      <c r="C28" s="12"/>
      <c r="D28" s="52" t="s">
        <v>67</v>
      </c>
      <c r="E28" s="52"/>
      <c r="F28" s="38">
        <v>73970</v>
      </c>
      <c r="G28" s="23">
        <v>0</v>
      </c>
      <c r="H28" s="23">
        <f t="shared" ref="H28:H30" si="19">F28+G28</f>
        <v>73970</v>
      </c>
      <c r="I28" s="23">
        <v>73970</v>
      </c>
      <c r="J28" s="23">
        <f t="shared" ref="J28:J30" si="20">I28-K28</f>
        <v>0</v>
      </c>
      <c r="K28" s="23">
        <f>I28</f>
        <v>73970</v>
      </c>
      <c r="L28" s="23">
        <f t="shared" ref="L28:L30" si="21">I28-H28</f>
        <v>0</v>
      </c>
    </row>
    <row r="29" spans="2:12" x14ac:dyDescent="0.3">
      <c r="B29" s="51"/>
      <c r="C29" s="12"/>
      <c r="D29" s="46" t="s">
        <v>68</v>
      </c>
      <c r="E29" s="59"/>
      <c r="F29" s="38">
        <v>960000</v>
      </c>
      <c r="G29" s="23">
        <v>208376.01</v>
      </c>
      <c r="H29" s="23">
        <f t="shared" si="19"/>
        <v>1168376.01</v>
      </c>
      <c r="I29" s="23">
        <f>923000+40000+32383.29+132604.72</f>
        <v>1127988.01</v>
      </c>
      <c r="J29" s="23">
        <f t="shared" si="20"/>
        <v>132604.71999999997</v>
      </c>
      <c r="K29" s="23">
        <f>923000+40000+32383.29</f>
        <v>995383.29</v>
      </c>
      <c r="L29" s="23">
        <f t="shared" si="21"/>
        <v>-40388</v>
      </c>
    </row>
    <row r="30" spans="2:12" x14ac:dyDescent="0.3">
      <c r="B30" s="51"/>
      <c r="C30" s="12"/>
      <c r="D30" s="60" t="s">
        <v>51</v>
      </c>
      <c r="E30" s="44"/>
      <c r="F30" s="45">
        <v>6125</v>
      </c>
      <c r="G30" s="23">
        <f>12921*2</f>
        <v>25842</v>
      </c>
      <c r="H30" s="23">
        <f t="shared" si="19"/>
        <v>31967</v>
      </c>
      <c r="I30" s="23">
        <f>12921+2374+12921</f>
        <v>28216</v>
      </c>
      <c r="J30" s="23">
        <f t="shared" si="20"/>
        <v>0</v>
      </c>
      <c r="K30" s="23">
        <f>I30</f>
        <v>28216</v>
      </c>
      <c r="L30" s="23">
        <f t="shared" si="21"/>
        <v>-3751</v>
      </c>
    </row>
    <row r="31" spans="2:12" x14ac:dyDescent="0.3">
      <c r="B31" s="49">
        <v>46401</v>
      </c>
      <c r="C31" s="50" t="s">
        <v>69</v>
      </c>
      <c r="D31" s="41"/>
      <c r="E31" s="41"/>
      <c r="F31" s="42">
        <f t="shared" ref="F31:K31" si="22">SUM(F32:F34)</f>
        <v>1863808.72</v>
      </c>
      <c r="G31" s="42">
        <f t="shared" si="22"/>
        <v>299542.63</v>
      </c>
      <c r="H31" s="42">
        <f t="shared" si="22"/>
        <v>2163351.35</v>
      </c>
      <c r="I31" s="42">
        <f t="shared" si="22"/>
        <v>2077994.81</v>
      </c>
      <c r="J31" s="42">
        <f t="shared" si="22"/>
        <v>149525.49</v>
      </c>
      <c r="K31" s="42">
        <f t="shared" si="22"/>
        <v>1928469.32</v>
      </c>
      <c r="L31" s="42">
        <f>SUM(L32:L34)</f>
        <v>-85356.540000000008</v>
      </c>
    </row>
    <row r="32" spans="2:12" x14ac:dyDescent="0.3">
      <c r="B32" s="51"/>
      <c r="C32" s="61"/>
      <c r="D32" s="62" t="s">
        <v>70</v>
      </c>
      <c r="E32" s="63"/>
      <c r="F32" s="47">
        <v>1750000</v>
      </c>
      <c r="G32" s="23">
        <v>299542.63</v>
      </c>
      <c r="H32" s="23">
        <f t="shared" ref="H32:H33" si="23">F32+G32</f>
        <v>2049542.63</v>
      </c>
      <c r="I32" s="23">
        <f>1020000+880017.14+149525.49</f>
        <v>2049542.6300000001</v>
      </c>
      <c r="J32" s="23">
        <f t="shared" ref="J32:J34" si="24">I32-K32</f>
        <v>149525.49</v>
      </c>
      <c r="K32" s="23">
        <f>255000*4+220004.28*4+0.02</f>
        <v>1900017.1400000001</v>
      </c>
      <c r="L32" s="23">
        <f t="shared" ref="L32:L33" si="25">I32-H32</f>
        <v>0</v>
      </c>
    </row>
    <row r="33" spans="2:12" x14ac:dyDescent="0.3">
      <c r="B33" s="51"/>
      <c r="C33" s="6"/>
      <c r="D33" s="64" t="s">
        <v>71</v>
      </c>
      <c r="E33" s="46"/>
      <c r="F33" s="17">
        <v>113808.72</v>
      </c>
      <c r="G33" s="23">
        <v>0</v>
      </c>
      <c r="H33" s="23">
        <f t="shared" si="23"/>
        <v>113808.72</v>
      </c>
      <c r="I33" s="23">
        <v>0</v>
      </c>
      <c r="J33" s="23">
        <f t="shared" si="24"/>
        <v>0</v>
      </c>
      <c r="K33" s="23">
        <v>0</v>
      </c>
      <c r="L33" s="23">
        <f t="shared" si="25"/>
        <v>-113808.72</v>
      </c>
    </row>
    <row r="34" spans="2:12" x14ac:dyDescent="0.3">
      <c r="B34" s="51"/>
      <c r="C34" s="6"/>
      <c r="D34" s="64" t="s">
        <v>72</v>
      </c>
      <c r="E34" s="46"/>
      <c r="F34" s="17">
        <v>0</v>
      </c>
      <c r="G34" s="23">
        <v>0</v>
      </c>
      <c r="H34" s="23">
        <f t="shared" ref="H34" si="26">F34+G34</f>
        <v>0</v>
      </c>
      <c r="I34" s="23">
        <v>28452.18</v>
      </c>
      <c r="J34" s="23">
        <f t="shared" si="24"/>
        <v>0</v>
      </c>
      <c r="K34" s="23">
        <v>28452.18</v>
      </c>
      <c r="L34" s="23">
        <f t="shared" ref="L34" si="27">I34-H34</f>
        <v>28452.18</v>
      </c>
    </row>
    <row r="35" spans="2:12" x14ac:dyDescent="0.3">
      <c r="B35" s="49">
        <v>47000</v>
      </c>
      <c r="C35" s="50" t="s">
        <v>73</v>
      </c>
      <c r="D35" s="41"/>
      <c r="E35" s="41"/>
      <c r="F35" s="42">
        <f>SUM(F36:F36)</f>
        <v>0</v>
      </c>
      <c r="G35" s="42">
        <f t="shared" ref="G35" si="28">SUM(G36:G36)</f>
        <v>10000</v>
      </c>
      <c r="H35" s="42">
        <f t="shared" ref="H35" si="29">SUM(H36:H36)</f>
        <v>10000</v>
      </c>
      <c r="I35" s="42">
        <f t="shared" ref="I35" si="30">SUM(I36:I36)</f>
        <v>10000</v>
      </c>
      <c r="J35" s="42">
        <f t="shared" ref="J35" si="31">SUM(J36:J36)</f>
        <v>0</v>
      </c>
      <c r="K35" s="42">
        <f t="shared" ref="K35" si="32">SUM(K36:K36)</f>
        <v>10000</v>
      </c>
      <c r="L35" s="42">
        <f t="shared" ref="L35" si="33">SUM(L36:L36)</f>
        <v>0</v>
      </c>
    </row>
    <row r="36" spans="2:12" x14ac:dyDescent="0.3">
      <c r="B36" s="51"/>
      <c r="C36" s="16"/>
      <c r="D36" s="52" t="s">
        <v>74</v>
      </c>
      <c r="E36" s="52"/>
      <c r="F36" s="38">
        <v>0</v>
      </c>
      <c r="G36" s="23">
        <v>10000</v>
      </c>
      <c r="H36" s="23">
        <f>F36+G36</f>
        <v>10000</v>
      </c>
      <c r="I36" s="23">
        <v>10000</v>
      </c>
      <c r="J36" s="23">
        <f>I36-K36</f>
        <v>0</v>
      </c>
      <c r="K36" s="23">
        <v>10000</v>
      </c>
      <c r="L36" s="23">
        <f>I36-H36</f>
        <v>0</v>
      </c>
    </row>
    <row r="37" spans="2:12" x14ac:dyDescent="0.3">
      <c r="F37" s="9"/>
    </row>
    <row r="40" spans="2:12" x14ac:dyDescent="0.3">
      <c r="F40" s="9"/>
    </row>
    <row r="41" spans="2:12" x14ac:dyDescent="0.3">
      <c r="F41" s="9"/>
    </row>
    <row r="42" spans="2:12" x14ac:dyDescent="0.3">
      <c r="D42" s="100"/>
      <c r="F42" s="9"/>
    </row>
    <row r="43" spans="2:12" x14ac:dyDescent="0.3">
      <c r="D43" s="100"/>
      <c r="E43" s="100"/>
      <c r="F43" s="99"/>
    </row>
    <row r="44" spans="2:12" x14ac:dyDescent="0.3">
      <c r="D44" s="100"/>
      <c r="E44" s="100"/>
      <c r="F44" s="99"/>
    </row>
    <row r="45" spans="2:12" x14ac:dyDescent="0.3">
      <c r="D45" s="100"/>
      <c r="E45" s="100"/>
      <c r="F45" s="99"/>
    </row>
    <row r="46" spans="2:12" x14ac:dyDescent="0.3">
      <c r="D46" s="100"/>
      <c r="E46" s="100"/>
      <c r="F46" s="99"/>
    </row>
    <row r="47" spans="2:12" x14ac:dyDescent="0.3">
      <c r="D47" s="100"/>
      <c r="E47" s="100"/>
      <c r="F47" s="99"/>
    </row>
    <row r="48" spans="2:12" x14ac:dyDescent="0.3">
      <c r="D48" s="100"/>
      <c r="E48" s="100"/>
      <c r="F48" s="99"/>
    </row>
    <row r="49" spans="4:6" x14ac:dyDescent="0.3">
      <c r="D49" s="100"/>
      <c r="E49" s="100"/>
      <c r="F49" s="99"/>
    </row>
    <row r="50" spans="4:6" x14ac:dyDescent="0.3">
      <c r="F50" s="99"/>
    </row>
    <row r="51" spans="4:6" x14ac:dyDescent="0.3">
      <c r="F51" s="99"/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&amp;CLiquidació pressupost 2024 Institut Metròpoli_31/12/2024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showGridLines="0" view="pageLayout" zoomScaleNormal="100" workbookViewId="0">
      <selection activeCell="K59" sqref="K59"/>
    </sheetView>
  </sheetViews>
  <sheetFormatPr defaultColWidth="11.5703125" defaultRowHeight="15" x14ac:dyDescent="0.3"/>
  <cols>
    <col min="1" max="1" width="3.42578125" style="1" customWidth="1"/>
    <col min="2" max="2" width="10.7109375" style="1" customWidth="1"/>
    <col min="3" max="3" width="3.85546875" style="1" customWidth="1"/>
    <col min="4" max="4" width="46.42578125" style="1" customWidth="1"/>
    <col min="5" max="5" width="12.5703125" style="1" customWidth="1"/>
    <col min="6" max="6" width="15.28515625" style="1" customWidth="1"/>
    <col min="7" max="7" width="13.140625" style="1" customWidth="1"/>
    <col min="8" max="8" width="12.140625" style="1" customWidth="1"/>
    <col min="9" max="9" width="12.42578125" style="1" customWidth="1"/>
    <col min="10" max="10" width="11.85546875" style="1" customWidth="1"/>
    <col min="11" max="11" width="10.5703125" style="1" bestFit="1" customWidth="1"/>
    <col min="12" max="16384" width="11.5703125" style="1"/>
  </cols>
  <sheetData>
    <row r="1" spans="1:11" ht="39.75" x14ac:dyDescent="0.3">
      <c r="B1" s="86"/>
      <c r="G1"/>
    </row>
    <row r="4" spans="1:11" s="11" customFormat="1" x14ac:dyDescent="0.3">
      <c r="A4" s="94" t="s">
        <v>75</v>
      </c>
      <c r="B4" s="94"/>
      <c r="C4" s="94"/>
      <c r="D4" s="94"/>
      <c r="E4" s="89">
        <f>E8</f>
        <v>30</v>
      </c>
      <c r="F4" s="88">
        <f t="shared" ref="F4:K4" si="0">F8</f>
        <v>0</v>
      </c>
      <c r="G4" s="88">
        <f t="shared" si="0"/>
        <v>30</v>
      </c>
      <c r="H4" s="88">
        <f t="shared" si="0"/>
        <v>0</v>
      </c>
      <c r="I4" s="88">
        <f t="shared" si="0"/>
        <v>0</v>
      </c>
      <c r="J4" s="88">
        <f t="shared" si="0"/>
        <v>0</v>
      </c>
      <c r="K4" s="88">
        <f t="shared" si="0"/>
        <v>-30</v>
      </c>
    </row>
    <row r="6" spans="1:11" s="29" customFormat="1" ht="30" x14ac:dyDescent="0.3">
      <c r="A6" s="28"/>
      <c r="B6" s="75" t="s">
        <v>31</v>
      </c>
      <c r="C6" s="76"/>
      <c r="D6" s="76" t="s">
        <v>8</v>
      </c>
      <c r="E6" s="77" t="s">
        <v>15</v>
      </c>
      <c r="F6" s="77" t="s">
        <v>16</v>
      </c>
      <c r="G6" s="77" t="s">
        <v>17</v>
      </c>
      <c r="H6" s="77" t="s">
        <v>18</v>
      </c>
      <c r="I6" s="77" t="s">
        <v>19</v>
      </c>
      <c r="J6" s="77" t="s">
        <v>20</v>
      </c>
      <c r="K6" s="77" t="s">
        <v>21</v>
      </c>
    </row>
    <row r="7" spans="1:11" x14ac:dyDescent="0.3">
      <c r="B7" s="3"/>
      <c r="C7" s="4"/>
      <c r="D7" s="2"/>
      <c r="E7" s="30"/>
    </row>
    <row r="8" spans="1:11" x14ac:dyDescent="0.3">
      <c r="B8" s="79">
        <v>5</v>
      </c>
      <c r="C8" s="80" t="s">
        <v>2</v>
      </c>
      <c r="D8" s="79"/>
      <c r="E8" s="84">
        <f>E9</f>
        <v>30</v>
      </c>
      <c r="F8" s="84">
        <f t="shared" ref="F8:K8" si="1">F9</f>
        <v>0</v>
      </c>
      <c r="G8" s="84">
        <f t="shared" si="1"/>
        <v>30</v>
      </c>
      <c r="H8" s="84">
        <f t="shared" si="1"/>
        <v>0</v>
      </c>
      <c r="I8" s="84">
        <f t="shared" si="1"/>
        <v>0</v>
      </c>
      <c r="J8" s="84">
        <f t="shared" si="1"/>
        <v>0</v>
      </c>
      <c r="K8" s="84">
        <f t="shared" si="1"/>
        <v>-30</v>
      </c>
    </row>
    <row r="9" spans="1:11" s="11" customFormat="1" x14ac:dyDescent="0.3">
      <c r="B9" s="31">
        <v>52000</v>
      </c>
      <c r="C9" s="32" t="s">
        <v>76</v>
      </c>
      <c r="D9" s="33"/>
      <c r="E9" s="34">
        <f>E10</f>
        <v>30</v>
      </c>
      <c r="F9" s="34">
        <f t="shared" ref="F9:K9" si="2">F10</f>
        <v>0</v>
      </c>
      <c r="G9" s="34">
        <f t="shared" si="2"/>
        <v>30</v>
      </c>
      <c r="H9" s="34">
        <f t="shared" si="2"/>
        <v>0</v>
      </c>
      <c r="I9" s="34">
        <f t="shared" si="2"/>
        <v>0</v>
      </c>
      <c r="J9" s="34">
        <f t="shared" si="2"/>
        <v>0</v>
      </c>
      <c r="K9" s="34">
        <f t="shared" si="2"/>
        <v>-30</v>
      </c>
    </row>
    <row r="10" spans="1:11" x14ac:dyDescent="0.3">
      <c r="B10" s="35"/>
      <c r="C10" s="36"/>
      <c r="D10" s="37" t="s">
        <v>76</v>
      </c>
      <c r="E10" s="38">
        <v>30</v>
      </c>
      <c r="F10" s="23">
        <v>0</v>
      </c>
      <c r="G10" s="23">
        <f>E10+F10</f>
        <v>30</v>
      </c>
      <c r="H10" s="23">
        <v>0</v>
      </c>
      <c r="I10" s="23">
        <f>H10-J10</f>
        <v>0</v>
      </c>
      <c r="J10" s="23">
        <v>0</v>
      </c>
      <c r="K10" s="23">
        <f>H10-G10</f>
        <v>-30</v>
      </c>
    </row>
    <row r="14" spans="1:11" s="11" customFormat="1" x14ac:dyDescent="0.3">
      <c r="A14" s="94" t="s">
        <v>77</v>
      </c>
      <c r="B14" s="94"/>
      <c r="C14" s="94"/>
      <c r="D14" s="94"/>
      <c r="E14" s="89">
        <f>E18</f>
        <v>0</v>
      </c>
      <c r="F14" s="88">
        <f t="shared" ref="F14:K14" si="3">F18</f>
        <v>184112.79</v>
      </c>
      <c r="G14" s="88">
        <f t="shared" si="3"/>
        <v>184112.79</v>
      </c>
      <c r="H14" s="88">
        <f t="shared" si="3"/>
        <v>0</v>
      </c>
      <c r="I14" s="88">
        <f t="shared" si="3"/>
        <v>0</v>
      </c>
      <c r="J14" s="88">
        <f t="shared" si="3"/>
        <v>0</v>
      </c>
      <c r="K14" s="88">
        <f t="shared" si="3"/>
        <v>-184112.79</v>
      </c>
    </row>
    <row r="16" spans="1:11" s="29" customFormat="1" ht="30" x14ac:dyDescent="0.3">
      <c r="A16" s="28"/>
      <c r="B16" s="75" t="s">
        <v>31</v>
      </c>
      <c r="C16" s="76"/>
      <c r="D16" s="76" t="s">
        <v>8</v>
      </c>
      <c r="E16" s="77" t="s">
        <v>15</v>
      </c>
      <c r="F16" s="77" t="s">
        <v>16</v>
      </c>
      <c r="G16" s="77" t="s">
        <v>17</v>
      </c>
      <c r="H16" s="77" t="s">
        <v>18</v>
      </c>
      <c r="I16" s="77" t="s">
        <v>19</v>
      </c>
      <c r="J16" s="77" t="s">
        <v>20</v>
      </c>
      <c r="K16" s="77" t="s">
        <v>21</v>
      </c>
    </row>
    <row r="17" spans="2:11" x14ac:dyDescent="0.3">
      <c r="B17" s="3"/>
      <c r="C17" s="4"/>
      <c r="D17" s="2"/>
      <c r="E17" s="30"/>
    </row>
    <row r="18" spans="2:11" x14ac:dyDescent="0.3">
      <c r="B18" s="79">
        <v>8</v>
      </c>
      <c r="C18" s="80" t="s">
        <v>22</v>
      </c>
      <c r="D18" s="79"/>
      <c r="E18" s="84">
        <f>E21+E19</f>
        <v>0</v>
      </c>
      <c r="F18" s="84">
        <f>F21+F19</f>
        <v>184112.79</v>
      </c>
      <c r="G18" s="84">
        <f t="shared" ref="G18:K18" si="4">G21+G19</f>
        <v>184112.79</v>
      </c>
      <c r="H18" s="84">
        <f t="shared" si="4"/>
        <v>0</v>
      </c>
      <c r="I18" s="84">
        <f t="shared" si="4"/>
        <v>0</v>
      </c>
      <c r="J18" s="84">
        <f t="shared" si="4"/>
        <v>0</v>
      </c>
      <c r="K18" s="84">
        <f t="shared" si="4"/>
        <v>-184112.79</v>
      </c>
    </row>
    <row r="19" spans="2:11" s="11" customFormat="1" x14ac:dyDescent="0.3">
      <c r="B19" s="31">
        <v>87010</v>
      </c>
      <c r="C19" s="32" t="s">
        <v>78</v>
      </c>
      <c r="D19" s="33"/>
      <c r="E19" s="34">
        <f>E20</f>
        <v>0</v>
      </c>
      <c r="F19" s="34">
        <f t="shared" ref="F19:K19" si="5">F20</f>
        <v>166810.13</v>
      </c>
      <c r="G19" s="34">
        <f t="shared" si="5"/>
        <v>166810.13</v>
      </c>
      <c r="H19" s="34">
        <f t="shared" si="5"/>
        <v>0</v>
      </c>
      <c r="I19" s="34">
        <f t="shared" si="5"/>
        <v>0</v>
      </c>
      <c r="J19" s="34">
        <f t="shared" si="5"/>
        <v>0</v>
      </c>
      <c r="K19" s="34">
        <f t="shared" si="5"/>
        <v>-166810.13</v>
      </c>
    </row>
    <row r="20" spans="2:11" x14ac:dyDescent="0.3">
      <c r="B20" s="35"/>
      <c r="C20" s="36"/>
      <c r="D20" s="37" t="s">
        <v>78</v>
      </c>
      <c r="E20" s="38">
        <v>0</v>
      </c>
      <c r="F20" s="23">
        <v>166810.13</v>
      </c>
      <c r="G20" s="23">
        <f>E20+F20</f>
        <v>166810.13</v>
      </c>
      <c r="H20" s="23">
        <v>0</v>
      </c>
      <c r="I20" s="23">
        <f>H20-J20</f>
        <v>0</v>
      </c>
      <c r="J20" s="23">
        <v>0</v>
      </c>
      <c r="K20" s="23">
        <f>H20-G20</f>
        <v>-166810.13</v>
      </c>
    </row>
    <row r="21" spans="2:11" s="11" customFormat="1" x14ac:dyDescent="0.3">
      <c r="B21" s="31">
        <v>87000</v>
      </c>
      <c r="C21" s="32" t="s">
        <v>79</v>
      </c>
      <c r="D21" s="33"/>
      <c r="E21" s="34">
        <f>E22</f>
        <v>0</v>
      </c>
      <c r="F21" s="34">
        <f t="shared" ref="F21:K21" si="6">F22</f>
        <v>17302.66</v>
      </c>
      <c r="G21" s="34">
        <f t="shared" si="6"/>
        <v>17302.66</v>
      </c>
      <c r="H21" s="34">
        <f t="shared" si="6"/>
        <v>0</v>
      </c>
      <c r="I21" s="34">
        <f t="shared" si="6"/>
        <v>0</v>
      </c>
      <c r="J21" s="34">
        <f t="shared" si="6"/>
        <v>0</v>
      </c>
      <c r="K21" s="34">
        <f t="shared" si="6"/>
        <v>-17302.66</v>
      </c>
    </row>
    <row r="22" spans="2:11" x14ac:dyDescent="0.3">
      <c r="B22" s="35"/>
      <c r="C22" s="36"/>
      <c r="D22" s="37" t="s">
        <v>79</v>
      </c>
      <c r="E22" s="38">
        <v>0</v>
      </c>
      <c r="F22" s="23">
        <v>17302.66</v>
      </c>
      <c r="G22" s="23">
        <f>E22+F22</f>
        <v>17302.66</v>
      </c>
      <c r="H22" s="23">
        <v>0</v>
      </c>
      <c r="I22" s="23">
        <f>H22-J22</f>
        <v>0</v>
      </c>
      <c r="J22" s="23">
        <v>0</v>
      </c>
      <c r="K22" s="23">
        <f>H22-G22</f>
        <v>-17302.66</v>
      </c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&amp;CLiquidació pressupost 2024 Institut Metròpoli_31/12/2024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7"/>
  <sheetViews>
    <sheetView showGridLines="0" view="pageLayout" zoomScaleNormal="100" workbookViewId="0">
      <selection activeCell="I12" sqref="I12"/>
    </sheetView>
  </sheetViews>
  <sheetFormatPr defaultColWidth="11.5703125" defaultRowHeight="15" x14ac:dyDescent="0.3"/>
  <cols>
    <col min="1" max="1" width="14.28515625" style="1" customWidth="1"/>
    <col min="2" max="2" width="10.7109375" style="1" customWidth="1"/>
    <col min="3" max="3" width="3.85546875" style="1" customWidth="1"/>
    <col min="4" max="4" width="33.7109375" style="1" customWidth="1"/>
    <col min="5" max="5" width="5.28515625" style="1" customWidth="1"/>
    <col min="6" max="6" width="14.140625" style="1" customWidth="1"/>
    <col min="7" max="7" width="12.42578125" style="1" customWidth="1"/>
    <col min="8" max="8" width="14.42578125" style="1" customWidth="1"/>
    <col min="9" max="9" width="13.7109375" style="1" customWidth="1"/>
    <col min="10" max="10" width="9.5703125" style="1" bestFit="1" customWidth="1"/>
    <col min="11" max="11" width="11.7109375" style="1" bestFit="1" customWidth="1"/>
    <col min="12" max="12" width="10.140625" style="1" bestFit="1" customWidth="1"/>
    <col min="13" max="16384" width="11.5703125" style="1"/>
  </cols>
  <sheetData>
    <row r="1" spans="1:12" ht="39.75" x14ac:dyDescent="0.3">
      <c r="A1" s="86"/>
      <c r="G1"/>
    </row>
    <row r="4" spans="1:12" x14ac:dyDescent="0.3">
      <c r="A4" s="94" t="s">
        <v>80</v>
      </c>
      <c r="B4" s="94"/>
      <c r="C4" s="94"/>
      <c r="D4" s="94"/>
      <c r="E4" s="94"/>
      <c r="F4" s="88">
        <f t="shared" ref="F4:L4" si="0">F8</f>
        <v>3180065.07</v>
      </c>
      <c r="G4" s="88">
        <f t="shared" si="0"/>
        <v>1134542.6200000001</v>
      </c>
      <c r="H4" s="88">
        <f t="shared" si="0"/>
        <v>4314607.6900000004</v>
      </c>
      <c r="I4" s="88">
        <f t="shared" si="0"/>
        <v>3619059.6999999997</v>
      </c>
      <c r="J4" s="88">
        <f t="shared" si="0"/>
        <v>0</v>
      </c>
      <c r="K4" s="88">
        <f t="shared" si="0"/>
        <v>3619059.6999999997</v>
      </c>
      <c r="L4" s="88">
        <f t="shared" si="0"/>
        <v>695547.99</v>
      </c>
    </row>
    <row r="6" spans="1:12" s="14" customFormat="1" ht="45.75" customHeight="1" x14ac:dyDescent="0.3">
      <c r="A6" s="81" t="s">
        <v>81</v>
      </c>
      <c r="B6" s="75" t="s">
        <v>82</v>
      </c>
      <c r="C6" s="179" t="s">
        <v>14</v>
      </c>
      <c r="D6" s="179"/>
      <c r="E6" s="82"/>
      <c r="F6" s="77" t="s">
        <v>15</v>
      </c>
      <c r="G6" s="77" t="s">
        <v>16</v>
      </c>
      <c r="H6" s="77" t="s">
        <v>17</v>
      </c>
      <c r="I6" s="77" t="s">
        <v>25</v>
      </c>
      <c r="J6" s="77" t="s">
        <v>26</v>
      </c>
      <c r="K6" s="77" t="s">
        <v>27</v>
      </c>
      <c r="L6" s="77" t="s">
        <v>21</v>
      </c>
    </row>
    <row r="8" spans="1:12" x14ac:dyDescent="0.3">
      <c r="A8" s="90" t="s">
        <v>83</v>
      </c>
      <c r="B8" s="79">
        <v>1</v>
      </c>
      <c r="C8" s="80" t="s">
        <v>3</v>
      </c>
      <c r="D8" s="79"/>
      <c r="E8" s="83"/>
      <c r="F8" s="84">
        <f>SUM(F9:F17)</f>
        <v>3180065.07</v>
      </c>
      <c r="G8" s="84">
        <f t="shared" ref="G8:L8" si="1">SUM(G9:G17)</f>
        <v>1134542.6200000001</v>
      </c>
      <c r="H8" s="84">
        <f t="shared" si="1"/>
        <v>4314607.6900000004</v>
      </c>
      <c r="I8" s="84">
        <f t="shared" si="1"/>
        <v>3619059.6999999997</v>
      </c>
      <c r="J8" s="84">
        <f t="shared" si="1"/>
        <v>0</v>
      </c>
      <c r="K8" s="84">
        <f t="shared" si="1"/>
        <v>3619059.6999999997</v>
      </c>
      <c r="L8" s="84">
        <f t="shared" si="1"/>
        <v>695547.99</v>
      </c>
    </row>
    <row r="9" spans="1:12" x14ac:dyDescent="0.3">
      <c r="A9" s="91" t="s">
        <v>84</v>
      </c>
      <c r="B9" s="21" t="s">
        <v>85</v>
      </c>
      <c r="C9" s="22" t="s">
        <v>86</v>
      </c>
      <c r="D9" s="22"/>
      <c r="E9" s="22"/>
      <c r="F9" s="23">
        <v>71810.06</v>
      </c>
      <c r="G9" s="17">
        <v>0</v>
      </c>
      <c r="H9" s="23">
        <f t="shared" ref="H9:H16" si="2">F9+G9</f>
        <v>71810.06</v>
      </c>
      <c r="I9" s="23">
        <v>71816.97</v>
      </c>
      <c r="J9" s="23">
        <f t="shared" ref="J9:J16" si="3">I9-K9</f>
        <v>0</v>
      </c>
      <c r="K9" s="23">
        <v>71816.97</v>
      </c>
      <c r="L9" s="23">
        <f t="shared" ref="L9:L16" si="4">H9-I9</f>
        <v>-6.9100000000034925</v>
      </c>
    </row>
    <row r="10" spans="1:12" x14ac:dyDescent="0.3">
      <c r="A10" s="91" t="s">
        <v>87</v>
      </c>
      <c r="B10" s="15" t="s">
        <v>88</v>
      </c>
      <c r="C10" s="16" t="s">
        <v>89</v>
      </c>
      <c r="D10" s="16"/>
      <c r="E10" s="16"/>
      <c r="F10" s="23">
        <v>2247999.3199999998</v>
      </c>
      <c r="G10" s="17">
        <f>804575.73-40000</f>
        <v>764575.73</v>
      </c>
      <c r="H10" s="23">
        <f t="shared" si="2"/>
        <v>3012575.05</v>
      </c>
      <c r="I10" s="23">
        <v>2492628.11</v>
      </c>
      <c r="J10" s="23">
        <f t="shared" si="3"/>
        <v>0</v>
      </c>
      <c r="K10" s="23">
        <v>2492628.11</v>
      </c>
      <c r="L10" s="23">
        <f t="shared" si="4"/>
        <v>519946.93999999994</v>
      </c>
    </row>
    <row r="11" spans="1:12" x14ac:dyDescent="0.3">
      <c r="A11" s="91" t="s">
        <v>90</v>
      </c>
      <c r="B11" s="15" t="s">
        <v>91</v>
      </c>
      <c r="C11" s="16" t="s">
        <v>92</v>
      </c>
      <c r="D11" s="16"/>
      <c r="E11" s="16"/>
      <c r="F11" s="23">
        <v>0</v>
      </c>
      <c r="G11" s="17">
        <v>92443.11</v>
      </c>
      <c r="H11" s="23">
        <f t="shared" si="2"/>
        <v>92443.11</v>
      </c>
      <c r="I11" s="23">
        <v>76467.53</v>
      </c>
      <c r="J11" s="23">
        <f t="shared" si="3"/>
        <v>0</v>
      </c>
      <c r="K11" s="23">
        <v>76467.53</v>
      </c>
      <c r="L11" s="23">
        <f t="shared" si="4"/>
        <v>15975.580000000002</v>
      </c>
    </row>
    <row r="12" spans="1:12" x14ac:dyDescent="0.3">
      <c r="B12" s="15" t="s">
        <v>93</v>
      </c>
      <c r="C12" s="16" t="s">
        <v>94</v>
      </c>
      <c r="D12" s="16"/>
      <c r="E12" s="16"/>
      <c r="F12" s="23">
        <v>0</v>
      </c>
      <c r="G12" s="17">
        <v>0</v>
      </c>
      <c r="H12" s="23">
        <f t="shared" si="2"/>
        <v>0</v>
      </c>
      <c r="I12" s="23">
        <v>12987.28</v>
      </c>
      <c r="J12" s="23">
        <f t="shared" si="3"/>
        <v>0</v>
      </c>
      <c r="K12" s="23">
        <v>12987.28</v>
      </c>
      <c r="L12" s="23">
        <f t="shared" si="4"/>
        <v>-12987.28</v>
      </c>
    </row>
    <row r="13" spans="1:12" x14ac:dyDescent="0.3">
      <c r="B13" s="15" t="s">
        <v>95</v>
      </c>
      <c r="C13" s="16" t="s">
        <v>96</v>
      </c>
      <c r="D13" s="16"/>
      <c r="E13" s="16"/>
      <c r="F13" s="23">
        <v>10000</v>
      </c>
      <c r="G13" s="17">
        <v>0</v>
      </c>
      <c r="H13" s="23">
        <f t="shared" si="2"/>
        <v>10000</v>
      </c>
      <c r="I13" s="23">
        <v>7962</v>
      </c>
      <c r="J13" s="23">
        <f t="shared" si="3"/>
        <v>0</v>
      </c>
      <c r="K13" s="23">
        <v>7962</v>
      </c>
      <c r="L13" s="23">
        <f t="shared" si="4"/>
        <v>2038</v>
      </c>
    </row>
    <row r="14" spans="1:12" x14ac:dyDescent="0.3">
      <c r="B14" s="15" t="s">
        <v>97</v>
      </c>
      <c r="C14" s="16" t="s">
        <v>98</v>
      </c>
      <c r="D14" s="16"/>
      <c r="E14" s="16"/>
      <c r="F14" s="23">
        <v>758528.29</v>
      </c>
      <c r="G14" s="17">
        <v>271523.78000000003</v>
      </c>
      <c r="H14" s="23">
        <f t="shared" si="2"/>
        <v>1030052.0700000001</v>
      </c>
      <c r="I14" s="23">
        <v>864970.94</v>
      </c>
      <c r="J14" s="23">
        <f t="shared" si="3"/>
        <v>0</v>
      </c>
      <c r="K14" s="23">
        <v>864970.94</v>
      </c>
      <c r="L14" s="23">
        <f t="shared" si="4"/>
        <v>165081.13000000012</v>
      </c>
    </row>
    <row r="15" spans="1:12" x14ac:dyDescent="0.3">
      <c r="B15" s="15" t="s">
        <v>99</v>
      </c>
      <c r="C15" s="16" t="s">
        <v>100</v>
      </c>
      <c r="D15" s="16"/>
      <c r="E15" s="16"/>
      <c r="F15" s="23">
        <v>15000</v>
      </c>
      <c r="G15" s="17">
        <v>0</v>
      </c>
      <c r="H15" s="23">
        <f t="shared" si="2"/>
        <v>15000</v>
      </c>
      <c r="I15" s="23">
        <v>2769.02</v>
      </c>
      <c r="J15" s="23">
        <f t="shared" si="3"/>
        <v>0</v>
      </c>
      <c r="K15" s="23">
        <v>2769.02</v>
      </c>
      <c r="L15" s="23">
        <f t="shared" si="4"/>
        <v>12230.98</v>
      </c>
    </row>
    <row r="16" spans="1:12" x14ac:dyDescent="0.3">
      <c r="B16" s="15" t="s">
        <v>101</v>
      </c>
      <c r="C16" s="16" t="s">
        <v>102</v>
      </c>
      <c r="D16" s="16"/>
      <c r="E16" s="16"/>
      <c r="F16" s="17">
        <v>76727.399999999994</v>
      </c>
      <c r="G16" s="17">
        <v>6000</v>
      </c>
      <c r="H16" s="23">
        <f t="shared" si="2"/>
        <v>82727.399999999994</v>
      </c>
      <c r="I16" s="23">
        <v>89457.85</v>
      </c>
      <c r="J16" s="23">
        <f t="shared" si="3"/>
        <v>0</v>
      </c>
      <c r="K16" s="23">
        <v>89457.85</v>
      </c>
      <c r="L16" s="23">
        <f t="shared" si="4"/>
        <v>-6730.4500000000116</v>
      </c>
    </row>
    <row r="18" spans="2:6" x14ac:dyDescent="0.3">
      <c r="B18" s="25"/>
    </row>
    <row r="19" spans="2:6" x14ac:dyDescent="0.3">
      <c r="B19" s="26"/>
      <c r="F19" s="27"/>
    </row>
    <row r="20" spans="2:6" x14ac:dyDescent="0.3">
      <c r="F20" s="24"/>
    </row>
    <row r="21" spans="2:6" x14ac:dyDescent="0.3">
      <c r="F21" s="24"/>
    </row>
    <row r="22" spans="2:6" x14ac:dyDescent="0.3">
      <c r="F22" s="24"/>
    </row>
    <row r="23" spans="2:6" x14ac:dyDescent="0.3">
      <c r="F23" s="24"/>
    </row>
    <row r="24" spans="2:6" x14ac:dyDescent="0.3">
      <c r="F24" s="24"/>
    </row>
    <row r="25" spans="2:6" x14ac:dyDescent="0.3">
      <c r="D25" s="9"/>
      <c r="F25" s="24"/>
    </row>
    <row r="26" spans="2:6" x14ac:dyDescent="0.3">
      <c r="F26" s="24"/>
    </row>
    <row r="27" spans="2:6" x14ac:dyDescent="0.3">
      <c r="F27" s="24"/>
    </row>
  </sheetData>
  <mergeCells count="1">
    <mergeCell ref="C6:D6"/>
  </mergeCells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&amp;CLiquidació pressupost 2024 Institut Metròpoli_31/12/2024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6"/>
  <sheetViews>
    <sheetView showGridLines="0" view="pageLayout" zoomScaleNormal="100" workbookViewId="0">
      <selection activeCell="K59" sqref="K59"/>
    </sheetView>
  </sheetViews>
  <sheetFormatPr defaultColWidth="11.5703125" defaultRowHeight="15" x14ac:dyDescent="0.3"/>
  <cols>
    <col min="1" max="1" width="14.5703125" style="1" customWidth="1"/>
    <col min="2" max="2" width="10.7109375" style="1" customWidth="1"/>
    <col min="3" max="3" width="3.85546875" style="1" customWidth="1"/>
    <col min="4" max="4" width="34" style="1" customWidth="1"/>
    <col min="5" max="5" width="4.85546875" style="1" customWidth="1"/>
    <col min="6" max="6" width="14.140625" style="1" customWidth="1"/>
    <col min="7" max="7" width="12.42578125" style="1" customWidth="1"/>
    <col min="8" max="8" width="11.5703125" style="1" customWidth="1"/>
    <col min="9" max="9" width="14.7109375" style="1" customWidth="1"/>
    <col min="10" max="10" width="11.28515625" style="1" customWidth="1"/>
    <col min="11" max="11" width="11.85546875" style="1" customWidth="1"/>
    <col min="12" max="12" width="12.28515625" style="1" customWidth="1"/>
    <col min="13" max="16384" width="11.5703125" style="1"/>
  </cols>
  <sheetData>
    <row r="1" spans="1:12" ht="39.75" x14ac:dyDescent="0.3">
      <c r="A1" s="86"/>
      <c r="G1"/>
    </row>
    <row r="4" spans="1:12" x14ac:dyDescent="0.3">
      <c r="A4" s="94" t="s">
        <v>103</v>
      </c>
      <c r="B4" s="94"/>
      <c r="C4" s="94"/>
      <c r="D4" s="94"/>
      <c r="E4" s="94"/>
      <c r="F4" s="88">
        <f t="shared" ref="F4:L4" si="0">F8</f>
        <v>1239291.71</v>
      </c>
      <c r="G4" s="88">
        <f t="shared" si="0"/>
        <v>30835.24</v>
      </c>
      <c r="H4" s="88">
        <f t="shared" si="0"/>
        <v>1270126.9500000002</v>
      </c>
      <c r="I4" s="88">
        <f t="shared" si="0"/>
        <v>1023103.35</v>
      </c>
      <c r="J4" s="88">
        <f t="shared" si="0"/>
        <v>343331.30999999994</v>
      </c>
      <c r="K4" s="88">
        <f t="shared" si="0"/>
        <v>679772.04</v>
      </c>
      <c r="L4" s="88">
        <f t="shared" si="0"/>
        <v>247023.59999999998</v>
      </c>
    </row>
    <row r="6" spans="1:12" s="14" customFormat="1" ht="50.25" customHeight="1" x14ac:dyDescent="0.3">
      <c r="A6" s="81" t="s">
        <v>81</v>
      </c>
      <c r="B6" s="75" t="s">
        <v>82</v>
      </c>
      <c r="C6" s="82"/>
      <c r="D6" s="82" t="s">
        <v>8</v>
      </c>
      <c r="E6" s="82"/>
      <c r="F6" s="77" t="s">
        <v>15</v>
      </c>
      <c r="G6" s="77" t="s">
        <v>16</v>
      </c>
      <c r="H6" s="77" t="s">
        <v>17</v>
      </c>
      <c r="I6" s="77" t="s">
        <v>25</v>
      </c>
      <c r="J6" s="77" t="s">
        <v>26</v>
      </c>
      <c r="K6" s="77" t="s">
        <v>27</v>
      </c>
      <c r="L6" s="77" t="s">
        <v>21</v>
      </c>
    </row>
    <row r="8" spans="1:12" x14ac:dyDescent="0.3">
      <c r="A8" s="90" t="s">
        <v>83</v>
      </c>
      <c r="B8" s="79">
        <v>2</v>
      </c>
      <c r="C8" s="79" t="s">
        <v>104</v>
      </c>
      <c r="D8" s="79"/>
      <c r="E8" s="83"/>
      <c r="F8" s="84">
        <f>SUM(F9:F31)</f>
        <v>1239291.71</v>
      </c>
      <c r="G8" s="84">
        <f t="shared" ref="G8:L8" si="1">SUM(G9:G31)</f>
        <v>30835.24</v>
      </c>
      <c r="H8" s="84">
        <f t="shared" si="1"/>
        <v>1270126.9500000002</v>
      </c>
      <c r="I8" s="84">
        <f t="shared" si="1"/>
        <v>1023103.35</v>
      </c>
      <c r="J8" s="84">
        <f t="shared" si="1"/>
        <v>343331.30999999994</v>
      </c>
      <c r="K8" s="84">
        <f t="shared" si="1"/>
        <v>679772.04</v>
      </c>
      <c r="L8" s="84">
        <f t="shared" si="1"/>
        <v>247023.59999999998</v>
      </c>
    </row>
    <row r="9" spans="1:12" x14ac:dyDescent="0.3">
      <c r="A9" s="91" t="s">
        <v>84</v>
      </c>
      <c r="B9" s="15" t="s">
        <v>105</v>
      </c>
      <c r="C9" s="16" t="s">
        <v>106</v>
      </c>
      <c r="D9" s="16"/>
      <c r="E9" s="16"/>
      <c r="F9" s="23">
        <v>62884.11</v>
      </c>
      <c r="G9" s="17">
        <v>0</v>
      </c>
      <c r="H9" s="23">
        <f t="shared" ref="H9:H31" si="2">F9+G9</f>
        <v>62884.11</v>
      </c>
      <c r="I9" s="17">
        <v>82607.92</v>
      </c>
      <c r="J9" s="23">
        <f t="shared" ref="J9:J31" si="3">I9-K9</f>
        <v>0</v>
      </c>
      <c r="K9" s="17">
        <v>82607.92</v>
      </c>
      <c r="L9" s="23">
        <f t="shared" ref="L9:L31" si="4">H9-I9</f>
        <v>-19723.809999999998</v>
      </c>
    </row>
    <row r="10" spans="1:12" x14ac:dyDescent="0.3">
      <c r="A10" s="91" t="s">
        <v>87</v>
      </c>
      <c r="B10" s="15" t="s">
        <v>107</v>
      </c>
      <c r="C10" s="16" t="s">
        <v>108</v>
      </c>
      <c r="D10" s="16"/>
      <c r="E10" s="16"/>
      <c r="F10" s="23">
        <v>2000</v>
      </c>
      <c r="G10" s="17">
        <v>0</v>
      </c>
      <c r="H10" s="23">
        <f t="shared" si="2"/>
        <v>2000</v>
      </c>
      <c r="I10" s="17">
        <v>1397.48</v>
      </c>
      <c r="J10" s="23">
        <f t="shared" si="3"/>
        <v>0</v>
      </c>
      <c r="K10" s="17">
        <v>1397.48</v>
      </c>
      <c r="L10" s="23">
        <f t="shared" si="4"/>
        <v>602.52</v>
      </c>
    </row>
    <row r="11" spans="1:12" x14ac:dyDescent="0.3">
      <c r="A11" s="91" t="s">
        <v>90</v>
      </c>
      <c r="B11" s="15" t="s">
        <v>109</v>
      </c>
      <c r="C11" s="16" t="s">
        <v>110</v>
      </c>
      <c r="D11" s="16"/>
      <c r="E11" s="16"/>
      <c r="F11" s="23">
        <v>1250</v>
      </c>
      <c r="G11" s="17">
        <v>0</v>
      </c>
      <c r="H11" s="23">
        <f t="shared" si="2"/>
        <v>1250</v>
      </c>
      <c r="I11" s="17">
        <v>242.12</v>
      </c>
      <c r="J11" s="23">
        <f t="shared" si="3"/>
        <v>0</v>
      </c>
      <c r="K11" s="17">
        <v>242.12</v>
      </c>
      <c r="L11" s="23">
        <f t="shared" si="4"/>
        <v>1007.88</v>
      </c>
    </row>
    <row r="12" spans="1:12" x14ac:dyDescent="0.3">
      <c r="B12" s="15" t="s">
        <v>111</v>
      </c>
      <c r="C12" s="16" t="s">
        <v>112</v>
      </c>
      <c r="D12" s="16"/>
      <c r="E12" s="16"/>
      <c r="F12" s="23">
        <v>12000</v>
      </c>
      <c r="G12" s="17">
        <v>97.59</v>
      </c>
      <c r="H12" s="23">
        <f t="shared" si="2"/>
        <v>12097.59</v>
      </c>
      <c r="I12" s="17">
        <v>4119.38</v>
      </c>
      <c r="J12" s="23">
        <f t="shared" si="3"/>
        <v>308.96000000000004</v>
      </c>
      <c r="K12" s="17">
        <v>3810.42</v>
      </c>
      <c r="L12" s="23">
        <f t="shared" si="4"/>
        <v>7978.21</v>
      </c>
    </row>
    <row r="13" spans="1:12" x14ac:dyDescent="0.3">
      <c r="B13" s="15" t="s">
        <v>113</v>
      </c>
      <c r="C13" s="16" t="s">
        <v>114</v>
      </c>
      <c r="D13" s="16"/>
      <c r="E13" s="16"/>
      <c r="F13" s="23">
        <v>8000</v>
      </c>
      <c r="G13" s="17">
        <v>0</v>
      </c>
      <c r="H13" s="23">
        <f t="shared" si="2"/>
        <v>8000</v>
      </c>
      <c r="I13" s="17">
        <v>11579.85</v>
      </c>
      <c r="J13" s="23">
        <f t="shared" si="3"/>
        <v>1135.6599999999999</v>
      </c>
      <c r="K13" s="17">
        <v>10444.19</v>
      </c>
      <c r="L13" s="23">
        <f t="shared" si="4"/>
        <v>-3579.8500000000004</v>
      </c>
    </row>
    <row r="14" spans="1:12" x14ac:dyDescent="0.3">
      <c r="B14" s="15" t="s">
        <v>115</v>
      </c>
      <c r="C14" s="16" t="s">
        <v>116</v>
      </c>
      <c r="D14" s="16"/>
      <c r="E14" s="16"/>
      <c r="F14" s="23">
        <v>1400</v>
      </c>
      <c r="G14" s="17">
        <v>0</v>
      </c>
      <c r="H14" s="23">
        <f t="shared" si="2"/>
        <v>1400</v>
      </c>
      <c r="I14" s="17">
        <v>409.81</v>
      </c>
      <c r="J14" s="23">
        <f t="shared" si="3"/>
        <v>0</v>
      </c>
      <c r="K14" s="17">
        <v>409.81</v>
      </c>
      <c r="L14" s="23">
        <f t="shared" si="4"/>
        <v>990.19</v>
      </c>
    </row>
    <row r="15" spans="1:12" x14ac:dyDescent="0.3">
      <c r="B15" s="15" t="s">
        <v>117</v>
      </c>
      <c r="C15" s="16" t="s">
        <v>118</v>
      </c>
      <c r="D15" s="16"/>
      <c r="E15" s="16"/>
      <c r="F15" s="23">
        <v>3000</v>
      </c>
      <c r="G15" s="17">
        <v>0</v>
      </c>
      <c r="H15" s="23">
        <f t="shared" si="2"/>
        <v>3000</v>
      </c>
      <c r="I15" s="17">
        <v>1247.67</v>
      </c>
      <c r="J15" s="23">
        <f t="shared" si="3"/>
        <v>123.26999999999998</v>
      </c>
      <c r="K15" s="17">
        <v>1124.4000000000001</v>
      </c>
      <c r="L15" s="23">
        <f t="shared" si="4"/>
        <v>1752.33</v>
      </c>
    </row>
    <row r="16" spans="1:12" x14ac:dyDescent="0.3">
      <c r="B16" s="15" t="s">
        <v>119</v>
      </c>
      <c r="C16" s="16" t="s">
        <v>120</v>
      </c>
      <c r="D16" s="16"/>
      <c r="E16" s="16"/>
      <c r="F16" s="23">
        <v>30000</v>
      </c>
      <c r="G16" s="17">
        <v>325.60000000000002</v>
      </c>
      <c r="H16" s="23">
        <f t="shared" si="2"/>
        <v>30325.599999999999</v>
      </c>
      <c r="I16" s="17">
        <v>58106.34</v>
      </c>
      <c r="J16" s="23">
        <f t="shared" si="3"/>
        <v>6977.4699999999939</v>
      </c>
      <c r="K16" s="17">
        <v>51128.87</v>
      </c>
      <c r="L16" s="23">
        <f t="shared" si="4"/>
        <v>-27780.739999999998</v>
      </c>
    </row>
    <row r="17" spans="2:12" x14ac:dyDescent="0.3">
      <c r="B17" s="15" t="s">
        <v>121</v>
      </c>
      <c r="C17" s="16" t="s">
        <v>122</v>
      </c>
      <c r="D17" s="16"/>
      <c r="E17" s="16"/>
      <c r="F17" s="23">
        <v>9000</v>
      </c>
      <c r="G17" s="17">
        <v>0</v>
      </c>
      <c r="H17" s="23">
        <f t="shared" si="2"/>
        <v>9000</v>
      </c>
      <c r="I17" s="17">
        <v>8255.18</v>
      </c>
      <c r="J17" s="23">
        <f t="shared" si="3"/>
        <v>712.80000000000018</v>
      </c>
      <c r="K17" s="17">
        <v>7542.38</v>
      </c>
      <c r="L17" s="23">
        <f t="shared" si="4"/>
        <v>744.81999999999971</v>
      </c>
    </row>
    <row r="18" spans="2:12" x14ac:dyDescent="0.3">
      <c r="B18" s="15" t="s">
        <v>123</v>
      </c>
      <c r="C18" s="16" t="s">
        <v>124</v>
      </c>
      <c r="D18" s="16"/>
      <c r="E18" s="16"/>
      <c r="F18" s="23">
        <v>750</v>
      </c>
      <c r="G18" s="17">
        <v>0</v>
      </c>
      <c r="H18" s="23">
        <f t="shared" si="2"/>
        <v>750</v>
      </c>
      <c r="I18" s="17">
        <v>1016.6</v>
      </c>
      <c r="J18" s="23">
        <f t="shared" si="3"/>
        <v>11.790000000000077</v>
      </c>
      <c r="K18" s="17">
        <v>1004.81</v>
      </c>
      <c r="L18" s="23">
        <f t="shared" si="4"/>
        <v>-266.60000000000002</v>
      </c>
    </row>
    <row r="19" spans="2:12" x14ac:dyDescent="0.3">
      <c r="B19" s="15" t="s">
        <v>125</v>
      </c>
      <c r="C19" s="16" t="s">
        <v>126</v>
      </c>
      <c r="D19" s="16"/>
      <c r="E19" s="16"/>
      <c r="F19" s="23">
        <v>7000</v>
      </c>
      <c r="G19" s="17">
        <v>0</v>
      </c>
      <c r="H19" s="23">
        <f t="shared" si="2"/>
        <v>7000</v>
      </c>
      <c r="I19" s="17">
        <v>11000.38</v>
      </c>
      <c r="J19" s="23">
        <f t="shared" si="3"/>
        <v>0</v>
      </c>
      <c r="K19" s="17">
        <v>11000.38</v>
      </c>
      <c r="L19" s="23">
        <f t="shared" si="4"/>
        <v>-4000.3799999999992</v>
      </c>
    </row>
    <row r="20" spans="2:12" x14ac:dyDescent="0.3">
      <c r="B20" s="15" t="s">
        <v>127</v>
      </c>
      <c r="C20" s="16" t="s">
        <v>128</v>
      </c>
      <c r="D20" s="16"/>
      <c r="E20" s="16"/>
      <c r="F20" s="23">
        <v>18000</v>
      </c>
      <c r="G20" s="17">
        <v>0</v>
      </c>
      <c r="H20" s="23">
        <f t="shared" si="2"/>
        <v>18000</v>
      </c>
      <c r="I20" s="17">
        <v>7489.4</v>
      </c>
      <c r="J20" s="23">
        <f t="shared" si="3"/>
        <v>371.22999999999956</v>
      </c>
      <c r="K20" s="17">
        <v>7118.17</v>
      </c>
      <c r="L20" s="23">
        <f t="shared" si="4"/>
        <v>10510.6</v>
      </c>
    </row>
    <row r="21" spans="2:12" x14ac:dyDescent="0.3">
      <c r="B21" s="15" t="s">
        <v>129</v>
      </c>
      <c r="C21" s="16" t="s">
        <v>130</v>
      </c>
      <c r="D21" s="16"/>
      <c r="E21" s="16"/>
      <c r="F21" s="23">
        <v>0</v>
      </c>
      <c r="G21" s="17">
        <v>0</v>
      </c>
      <c r="H21" s="23">
        <f t="shared" si="2"/>
        <v>0</v>
      </c>
      <c r="I21" s="17">
        <v>0</v>
      </c>
      <c r="J21" s="23">
        <f t="shared" si="3"/>
        <v>0</v>
      </c>
      <c r="K21" s="17">
        <v>0</v>
      </c>
      <c r="L21" s="23">
        <f t="shared" si="4"/>
        <v>0</v>
      </c>
    </row>
    <row r="22" spans="2:12" x14ac:dyDescent="0.3">
      <c r="B22" s="15" t="s">
        <v>131</v>
      </c>
      <c r="C22" s="16" t="s">
        <v>132</v>
      </c>
      <c r="D22" s="16"/>
      <c r="E22" s="16"/>
      <c r="F22" s="23">
        <v>9000</v>
      </c>
      <c r="G22" s="17">
        <v>97245.86</v>
      </c>
      <c r="H22" s="23">
        <f t="shared" si="2"/>
        <v>106245.86</v>
      </c>
      <c r="I22" s="17">
        <v>23004.02</v>
      </c>
      <c r="J22" s="23">
        <f t="shared" si="3"/>
        <v>273.65999999999985</v>
      </c>
      <c r="K22" s="17">
        <v>22730.36</v>
      </c>
      <c r="L22" s="23">
        <f t="shared" si="4"/>
        <v>83241.84</v>
      </c>
    </row>
    <row r="23" spans="2:12" x14ac:dyDescent="0.3">
      <c r="B23" s="15" t="s">
        <v>133</v>
      </c>
      <c r="C23" s="16" t="s">
        <v>134</v>
      </c>
      <c r="D23" s="16"/>
      <c r="E23" s="16"/>
      <c r="F23" s="23">
        <v>22000</v>
      </c>
      <c r="G23" s="17">
        <v>0</v>
      </c>
      <c r="H23" s="23">
        <f t="shared" si="2"/>
        <v>22000</v>
      </c>
      <c r="I23" s="17">
        <v>6898.03</v>
      </c>
      <c r="J23" s="23">
        <f t="shared" si="3"/>
        <v>1228.7699999999995</v>
      </c>
      <c r="K23" s="17">
        <v>5669.26</v>
      </c>
      <c r="L23" s="23">
        <f t="shared" si="4"/>
        <v>15101.970000000001</v>
      </c>
    </row>
    <row r="24" spans="2:12" x14ac:dyDescent="0.3">
      <c r="B24" s="15" t="s">
        <v>135</v>
      </c>
      <c r="C24" s="16" t="s">
        <v>136</v>
      </c>
      <c r="D24" s="16"/>
      <c r="E24" s="16"/>
      <c r="F24" s="23">
        <v>516.51</v>
      </c>
      <c r="G24" s="17">
        <v>0</v>
      </c>
      <c r="H24" s="23">
        <f t="shared" si="2"/>
        <v>516.51</v>
      </c>
      <c r="I24" s="17">
        <v>1442.31</v>
      </c>
      <c r="J24" s="23">
        <f t="shared" si="3"/>
        <v>100.42999999999984</v>
      </c>
      <c r="K24" s="17">
        <v>1341.88</v>
      </c>
      <c r="L24" s="23">
        <f t="shared" si="4"/>
        <v>-925.8</v>
      </c>
    </row>
    <row r="25" spans="2:12" x14ac:dyDescent="0.3">
      <c r="B25" s="15" t="s">
        <v>137</v>
      </c>
      <c r="C25" s="16" t="s">
        <v>216</v>
      </c>
      <c r="D25" s="16"/>
      <c r="E25" s="16"/>
      <c r="F25" s="23">
        <f>70000+68000+30000+18000+10000+70000+25000+26000+260000+60000+7920+74221.09+3000+750+32000+45000+120000</f>
        <v>919891.09</v>
      </c>
      <c r="G25" s="17">
        <f>-120173.5+30000</f>
        <v>-90173.5</v>
      </c>
      <c r="H25" s="23">
        <f t="shared" si="2"/>
        <v>829717.59</v>
      </c>
      <c r="I25" s="17">
        <v>738211.83</v>
      </c>
      <c r="J25" s="23">
        <f t="shared" si="3"/>
        <v>331787.26999999996</v>
      </c>
      <c r="K25" s="17">
        <v>406424.56</v>
      </c>
      <c r="L25" s="23">
        <f t="shared" si="4"/>
        <v>91505.760000000009</v>
      </c>
    </row>
    <row r="26" spans="2:12" x14ac:dyDescent="0.3">
      <c r="B26" s="15" t="s">
        <v>138</v>
      </c>
      <c r="C26" s="16" t="s">
        <v>215</v>
      </c>
      <c r="D26" s="16"/>
      <c r="E26" s="16"/>
      <c r="F26" s="23">
        <f>3000+36000+30000+20000</f>
        <v>89000</v>
      </c>
      <c r="G26" s="17">
        <v>4758.63</v>
      </c>
      <c r="H26" s="23">
        <f t="shared" si="2"/>
        <v>93758.63</v>
      </c>
      <c r="I26" s="17">
        <v>31062.41</v>
      </c>
      <c r="J26" s="23">
        <f t="shared" si="3"/>
        <v>300</v>
      </c>
      <c r="K26" s="17">
        <v>30762.41</v>
      </c>
      <c r="L26" s="23">
        <f t="shared" si="4"/>
        <v>62696.22</v>
      </c>
    </row>
    <row r="27" spans="2:12" x14ac:dyDescent="0.3">
      <c r="B27" s="15" t="s">
        <v>139</v>
      </c>
      <c r="C27" s="16" t="s">
        <v>140</v>
      </c>
      <c r="D27" s="16"/>
      <c r="E27" s="16"/>
      <c r="F27" s="23">
        <v>300</v>
      </c>
      <c r="G27" s="17">
        <v>0</v>
      </c>
      <c r="H27" s="23">
        <f t="shared" si="2"/>
        <v>300</v>
      </c>
      <c r="I27" s="17">
        <v>73.88</v>
      </c>
      <c r="J27" s="23">
        <f t="shared" si="3"/>
        <v>0</v>
      </c>
      <c r="K27" s="17">
        <v>73.88</v>
      </c>
      <c r="L27" s="23">
        <f t="shared" si="4"/>
        <v>226.12</v>
      </c>
    </row>
    <row r="28" spans="2:12" x14ac:dyDescent="0.3">
      <c r="B28" s="15" t="s">
        <v>141</v>
      </c>
      <c r="C28" s="16" t="s">
        <v>142</v>
      </c>
      <c r="D28" s="16"/>
      <c r="E28" s="16"/>
      <c r="F28" s="23">
        <v>2000</v>
      </c>
      <c r="G28" s="17">
        <v>0</v>
      </c>
      <c r="H28" s="23">
        <f t="shared" si="2"/>
        <v>2000</v>
      </c>
      <c r="I28" s="17">
        <v>464.02</v>
      </c>
      <c r="J28" s="23">
        <f t="shared" si="3"/>
        <v>0</v>
      </c>
      <c r="K28" s="17">
        <v>464.02</v>
      </c>
      <c r="L28" s="23">
        <f t="shared" si="4"/>
        <v>1535.98</v>
      </c>
    </row>
    <row r="29" spans="2:12" x14ac:dyDescent="0.3">
      <c r="B29" s="15" t="s">
        <v>143</v>
      </c>
      <c r="C29" s="16" t="s">
        <v>144</v>
      </c>
      <c r="D29" s="16"/>
      <c r="E29" s="16"/>
      <c r="F29" s="23">
        <v>300</v>
      </c>
      <c r="G29" s="17">
        <v>0</v>
      </c>
      <c r="H29" s="23">
        <f t="shared" si="2"/>
        <v>300</v>
      </c>
      <c r="I29" s="17">
        <v>96.2</v>
      </c>
      <c r="J29" s="23">
        <f t="shared" si="3"/>
        <v>0</v>
      </c>
      <c r="K29" s="17">
        <v>96.2</v>
      </c>
      <c r="L29" s="23">
        <f t="shared" si="4"/>
        <v>203.8</v>
      </c>
    </row>
    <row r="30" spans="2:12" x14ac:dyDescent="0.3">
      <c r="B30" s="15" t="s">
        <v>145</v>
      </c>
      <c r="C30" s="16" t="s">
        <v>146</v>
      </c>
      <c r="D30" s="16"/>
      <c r="E30" s="16"/>
      <c r="F30" s="23">
        <v>3000</v>
      </c>
      <c r="G30" s="17">
        <v>0</v>
      </c>
      <c r="H30" s="23">
        <f t="shared" si="2"/>
        <v>3000</v>
      </c>
      <c r="I30" s="17">
        <v>1085.1400000000001</v>
      </c>
      <c r="J30" s="23">
        <f t="shared" si="3"/>
        <v>0</v>
      </c>
      <c r="K30" s="17">
        <v>1085.1400000000001</v>
      </c>
      <c r="L30" s="23">
        <f t="shared" si="4"/>
        <v>1914.86</v>
      </c>
    </row>
    <row r="31" spans="2:12" x14ac:dyDescent="0.3">
      <c r="B31" s="15" t="s">
        <v>147</v>
      </c>
      <c r="C31" s="16" t="s">
        <v>217</v>
      </c>
      <c r="D31" s="16"/>
      <c r="E31" s="16"/>
      <c r="F31" s="23">
        <f>4000+12000+10000+12000</f>
        <v>38000</v>
      </c>
      <c r="G31" s="17">
        <f>8581.06+10000</f>
        <v>18581.059999999998</v>
      </c>
      <c r="H31" s="23">
        <f t="shared" si="2"/>
        <v>56581.06</v>
      </c>
      <c r="I31" s="17">
        <v>33293.379999999997</v>
      </c>
      <c r="J31" s="23">
        <f t="shared" si="3"/>
        <v>0</v>
      </c>
      <c r="K31" s="17">
        <v>33293.379999999997</v>
      </c>
      <c r="L31" s="23">
        <f t="shared" si="4"/>
        <v>23287.68</v>
      </c>
    </row>
    <row r="33" ht="14.25" customHeight="1" x14ac:dyDescent="0.3"/>
    <row r="34" ht="15" customHeight="1" x14ac:dyDescent="0.3"/>
    <row r="35" ht="15" customHeight="1" x14ac:dyDescent="0.3"/>
    <row r="36" ht="15" customHeight="1" x14ac:dyDescent="0.3"/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&amp;CLiquidació pressupost 2024 Institut Metròpoli_31/12/2024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4"/>
  <sheetViews>
    <sheetView showGridLines="0" view="pageLayout" zoomScaleNormal="100" workbookViewId="0">
      <selection activeCell="A6" sqref="A6"/>
    </sheetView>
  </sheetViews>
  <sheetFormatPr defaultColWidth="11.5703125" defaultRowHeight="15" x14ac:dyDescent="0.3"/>
  <cols>
    <col min="1" max="1" width="17.85546875" style="1" customWidth="1"/>
    <col min="2" max="2" width="10.7109375" style="1" customWidth="1"/>
    <col min="3" max="3" width="3.85546875" style="1" customWidth="1"/>
    <col min="4" max="4" width="34" style="1" customWidth="1"/>
    <col min="5" max="5" width="5.28515625" style="1" customWidth="1"/>
    <col min="6" max="6" width="13.140625" style="1" customWidth="1"/>
    <col min="7" max="7" width="12.42578125" style="1" customWidth="1"/>
    <col min="8" max="8" width="14.42578125" style="1" customWidth="1"/>
    <col min="9" max="9" width="14.7109375" style="1" customWidth="1"/>
    <col min="10" max="10" width="11.85546875" style="1" customWidth="1"/>
    <col min="11" max="11" width="10" style="1" customWidth="1"/>
    <col min="12" max="12" width="11" style="1" customWidth="1"/>
    <col min="13" max="16384" width="11.5703125" style="1"/>
  </cols>
  <sheetData>
    <row r="1" spans="1:12" ht="39.75" x14ac:dyDescent="0.3">
      <c r="A1" s="86"/>
      <c r="B1" s="86"/>
      <c r="C1" s="86"/>
      <c r="D1" s="86"/>
      <c r="E1" s="86"/>
      <c r="F1" s="86"/>
      <c r="G1"/>
    </row>
    <row r="4" spans="1:12" s="11" customFormat="1" x14ac:dyDescent="0.3">
      <c r="A4" s="94" t="s">
        <v>148</v>
      </c>
      <c r="B4" s="94"/>
      <c r="C4" s="94"/>
      <c r="D4" s="94"/>
      <c r="E4" s="94"/>
      <c r="F4" s="95">
        <f t="shared" ref="F4:L4" si="0">F8</f>
        <v>830</v>
      </c>
      <c r="G4" s="88">
        <f t="shared" si="0"/>
        <v>3100</v>
      </c>
      <c r="H4" s="88">
        <f t="shared" si="0"/>
        <v>3930</v>
      </c>
      <c r="I4" s="88">
        <f t="shared" si="0"/>
        <v>3768.8399999999997</v>
      </c>
      <c r="J4" s="88">
        <f t="shared" si="0"/>
        <v>0</v>
      </c>
      <c r="K4" s="88">
        <f t="shared" si="0"/>
        <v>3768.8399999999997</v>
      </c>
      <c r="L4" s="88">
        <f t="shared" si="0"/>
        <v>161.16000000000011</v>
      </c>
    </row>
    <row r="5" spans="1:12" ht="18.75" customHeight="1" x14ac:dyDescent="0.3"/>
    <row r="6" spans="1:12" s="14" customFormat="1" ht="46.5" customHeight="1" x14ac:dyDescent="0.3">
      <c r="A6" s="81" t="s">
        <v>81</v>
      </c>
      <c r="B6" s="75" t="s">
        <v>82</v>
      </c>
      <c r="C6" s="82"/>
      <c r="D6" s="82" t="s">
        <v>8</v>
      </c>
      <c r="E6" s="82"/>
      <c r="F6" s="77" t="s">
        <v>15</v>
      </c>
      <c r="G6" s="77" t="s">
        <v>16</v>
      </c>
      <c r="H6" s="77" t="s">
        <v>17</v>
      </c>
      <c r="I6" s="77" t="s">
        <v>25</v>
      </c>
      <c r="J6" s="77" t="s">
        <v>26</v>
      </c>
      <c r="K6" s="77" t="s">
        <v>27</v>
      </c>
      <c r="L6" s="77" t="s">
        <v>21</v>
      </c>
    </row>
    <row r="8" spans="1:12" x14ac:dyDescent="0.3">
      <c r="A8" s="90" t="s">
        <v>83</v>
      </c>
      <c r="B8" s="79">
        <v>3</v>
      </c>
      <c r="C8" s="80" t="s">
        <v>6</v>
      </c>
      <c r="D8" s="79"/>
      <c r="E8" s="83"/>
      <c r="F8" s="84">
        <f>SUM(F9:F10)</f>
        <v>830</v>
      </c>
      <c r="G8" s="84">
        <f t="shared" ref="G8" si="1">SUM(G9:G10)</f>
        <v>3100</v>
      </c>
      <c r="H8" s="84">
        <f t="shared" ref="H8" si="2">SUM(H9:H10)</f>
        <v>3930</v>
      </c>
      <c r="I8" s="84">
        <f t="shared" ref="I8" si="3">SUM(I9:I10)</f>
        <v>3768.8399999999997</v>
      </c>
      <c r="J8" s="84">
        <f t="shared" ref="J8" si="4">SUM(J9:J10)</f>
        <v>0</v>
      </c>
      <c r="K8" s="84">
        <f t="shared" ref="K8" si="5">SUM(K9:K10)</f>
        <v>3768.8399999999997</v>
      </c>
      <c r="L8" s="84">
        <f t="shared" ref="L8" si="6">SUM(L9:L10)</f>
        <v>161.16000000000011</v>
      </c>
    </row>
    <row r="9" spans="1:12" x14ac:dyDescent="0.3">
      <c r="A9" s="91" t="s">
        <v>84</v>
      </c>
      <c r="B9" s="15" t="s">
        <v>149</v>
      </c>
      <c r="C9" s="16" t="s">
        <v>150</v>
      </c>
      <c r="D9" s="16"/>
      <c r="E9" s="16"/>
      <c r="F9" s="17">
        <v>80</v>
      </c>
      <c r="G9" s="17">
        <v>0</v>
      </c>
      <c r="H9" s="23">
        <f t="shared" ref="H9" si="7">F9+G9</f>
        <v>80</v>
      </c>
      <c r="I9" s="17">
        <v>141.97</v>
      </c>
      <c r="J9" s="23">
        <f t="shared" ref="J9:J10" si="8">I9-K9</f>
        <v>0</v>
      </c>
      <c r="K9" s="17">
        <v>141.97</v>
      </c>
      <c r="L9" s="23">
        <f>H9-I9</f>
        <v>-61.97</v>
      </c>
    </row>
    <row r="10" spans="1:12" x14ac:dyDescent="0.3">
      <c r="A10" s="91" t="s">
        <v>87</v>
      </c>
      <c r="B10" s="15">
        <v>35900</v>
      </c>
      <c r="C10" s="16" t="s">
        <v>151</v>
      </c>
      <c r="D10" s="16"/>
      <c r="E10" s="16"/>
      <c r="F10" s="17">
        <v>750</v>
      </c>
      <c r="G10" s="17">
        <v>3100</v>
      </c>
      <c r="H10" s="23">
        <f t="shared" ref="H10" si="9">F10+G10</f>
        <v>3850</v>
      </c>
      <c r="I10" s="17">
        <v>3626.87</v>
      </c>
      <c r="J10" s="23">
        <f t="shared" si="8"/>
        <v>0</v>
      </c>
      <c r="K10" s="17">
        <v>3626.87</v>
      </c>
      <c r="L10" s="23">
        <f>H10-I10</f>
        <v>223.13000000000011</v>
      </c>
    </row>
    <row r="11" spans="1:12" x14ac:dyDescent="0.3">
      <c r="A11" s="91" t="s">
        <v>90</v>
      </c>
      <c r="B11" s="18"/>
      <c r="C11" s="19"/>
      <c r="D11" s="19"/>
      <c r="E11" s="19"/>
      <c r="F11" s="20"/>
    </row>
    <row r="12" spans="1:12" x14ac:dyDescent="0.3">
      <c r="A12" s="91"/>
    </row>
    <row r="14" spans="1:12" s="11" customFormat="1" x14ac:dyDescent="0.3">
      <c r="A14" s="68" t="s">
        <v>152</v>
      </c>
      <c r="B14" s="68"/>
      <c r="C14" s="68"/>
      <c r="D14" s="68"/>
      <c r="E14" s="68"/>
      <c r="F14" s="85">
        <f t="shared" ref="F14:L14" si="10">F18</f>
        <v>0</v>
      </c>
      <c r="G14" s="88">
        <f t="shared" si="10"/>
        <v>38521.47</v>
      </c>
      <c r="H14" s="88">
        <f t="shared" si="10"/>
        <v>38521.47</v>
      </c>
      <c r="I14" s="88">
        <f t="shared" si="10"/>
        <v>33692.47</v>
      </c>
      <c r="J14" s="88">
        <f t="shared" si="10"/>
        <v>0</v>
      </c>
      <c r="K14" s="88">
        <f t="shared" si="10"/>
        <v>33692.47</v>
      </c>
      <c r="L14" s="88">
        <f t="shared" si="10"/>
        <v>4829</v>
      </c>
    </row>
    <row r="16" spans="1:12" s="14" customFormat="1" ht="42" customHeight="1" x14ac:dyDescent="0.3">
      <c r="A16" s="81" t="s">
        <v>81</v>
      </c>
      <c r="B16" s="75" t="s">
        <v>82</v>
      </c>
      <c r="C16" s="82"/>
      <c r="D16" s="82" t="s">
        <v>8</v>
      </c>
      <c r="E16" s="82"/>
      <c r="F16" s="77" t="s">
        <v>15</v>
      </c>
      <c r="G16" s="77" t="s">
        <v>16</v>
      </c>
      <c r="H16" s="77" t="s">
        <v>17</v>
      </c>
      <c r="I16" s="77" t="s">
        <v>25</v>
      </c>
      <c r="J16" s="77" t="s">
        <v>26</v>
      </c>
      <c r="K16" s="77" t="s">
        <v>27</v>
      </c>
      <c r="L16" s="77" t="s">
        <v>21</v>
      </c>
    </row>
    <row r="18" spans="1:12" x14ac:dyDescent="0.3">
      <c r="A18" s="90" t="s">
        <v>83</v>
      </c>
      <c r="B18" s="79">
        <v>4</v>
      </c>
      <c r="C18" s="80" t="s">
        <v>28</v>
      </c>
      <c r="D18" s="79"/>
      <c r="E18" s="83"/>
      <c r="F18" s="84">
        <f>SUM(F19:F20)</f>
        <v>0</v>
      </c>
      <c r="G18" s="84">
        <f t="shared" ref="G18:L18" si="11">SUM(G19:G20)</f>
        <v>38521.47</v>
      </c>
      <c r="H18" s="84">
        <f t="shared" si="11"/>
        <v>38521.47</v>
      </c>
      <c r="I18" s="84">
        <f t="shared" si="11"/>
        <v>33692.47</v>
      </c>
      <c r="J18" s="84">
        <f t="shared" si="11"/>
        <v>0</v>
      </c>
      <c r="K18" s="84">
        <f t="shared" si="11"/>
        <v>33692.47</v>
      </c>
      <c r="L18" s="84">
        <f t="shared" si="11"/>
        <v>4829</v>
      </c>
    </row>
    <row r="19" spans="1:12" x14ac:dyDescent="0.3">
      <c r="A19" s="91" t="s">
        <v>84</v>
      </c>
      <c r="B19" s="15" t="s">
        <v>164</v>
      </c>
      <c r="C19" s="16" t="s">
        <v>165</v>
      </c>
      <c r="D19" s="16"/>
      <c r="E19" s="16"/>
      <c r="F19" s="17">
        <v>0</v>
      </c>
      <c r="G19" s="17">
        <v>13860</v>
      </c>
      <c r="H19" s="23">
        <f t="shared" ref="H19:H20" si="12">F19+G19</f>
        <v>13860</v>
      </c>
      <c r="I19" s="17">
        <v>11088</v>
      </c>
      <c r="J19" s="23">
        <f t="shared" ref="J19:J20" si="13">I19-K19</f>
        <v>0</v>
      </c>
      <c r="K19" s="17">
        <v>11088</v>
      </c>
      <c r="L19" s="23">
        <f>H19-I19</f>
        <v>2772</v>
      </c>
    </row>
    <row r="20" spans="1:12" x14ac:dyDescent="0.3">
      <c r="A20" s="91" t="s">
        <v>87</v>
      </c>
      <c r="B20" s="15" t="s">
        <v>153</v>
      </c>
      <c r="C20" s="16" t="s">
        <v>169</v>
      </c>
      <c r="D20" s="16"/>
      <c r="E20" s="16"/>
      <c r="F20" s="17">
        <v>0</v>
      </c>
      <c r="G20" s="17">
        <v>24661.47</v>
      </c>
      <c r="H20" s="23">
        <f t="shared" si="12"/>
        <v>24661.47</v>
      </c>
      <c r="I20" s="17">
        <f>24661.47-2057</f>
        <v>22604.47</v>
      </c>
      <c r="J20" s="23">
        <f t="shared" si="13"/>
        <v>0</v>
      </c>
      <c r="K20" s="17">
        <v>22604.47</v>
      </c>
      <c r="L20" s="23">
        <f>H20-I20</f>
        <v>2057</v>
      </c>
    </row>
    <row r="21" spans="1:12" x14ac:dyDescent="0.3">
      <c r="A21" s="91" t="s">
        <v>90</v>
      </c>
    </row>
    <row r="24" spans="1:12" ht="15.75" customHeight="1" x14ac:dyDescent="0.3"/>
    <row r="25" spans="1:12" x14ac:dyDescent="0.3">
      <c r="A25" s="68" t="s">
        <v>154</v>
      </c>
      <c r="B25" s="68"/>
      <c r="C25" s="68"/>
      <c r="D25" s="68"/>
      <c r="E25" s="68"/>
      <c r="F25" s="85">
        <f t="shared" ref="F25:L25" si="14">F29</f>
        <v>12500</v>
      </c>
      <c r="G25" s="88">
        <f t="shared" si="14"/>
        <v>0</v>
      </c>
      <c r="H25" s="88">
        <f t="shared" si="14"/>
        <v>12500</v>
      </c>
      <c r="I25" s="88">
        <f t="shared" si="14"/>
        <v>11763.130000000001</v>
      </c>
      <c r="J25" s="88">
        <f t="shared" si="14"/>
        <v>3956.4300000000003</v>
      </c>
      <c r="K25" s="88">
        <f t="shared" si="14"/>
        <v>7806.7</v>
      </c>
      <c r="L25" s="88">
        <f t="shared" si="14"/>
        <v>736.86999999999989</v>
      </c>
    </row>
    <row r="26" spans="1:12" ht="14.25" customHeight="1" x14ac:dyDescent="0.3"/>
    <row r="27" spans="1:12" ht="30" x14ac:dyDescent="0.3">
      <c r="A27" s="81" t="s">
        <v>81</v>
      </c>
      <c r="B27" s="75" t="s">
        <v>82</v>
      </c>
      <c r="C27" s="82"/>
      <c r="D27" s="82" t="s">
        <v>8</v>
      </c>
      <c r="E27" s="82"/>
      <c r="F27" s="77" t="s">
        <v>15</v>
      </c>
      <c r="G27" s="77" t="s">
        <v>16</v>
      </c>
      <c r="H27" s="77" t="s">
        <v>17</v>
      </c>
      <c r="I27" s="77" t="s">
        <v>25</v>
      </c>
      <c r="J27" s="77" t="s">
        <v>26</v>
      </c>
      <c r="K27" s="77" t="s">
        <v>27</v>
      </c>
      <c r="L27" s="77" t="s">
        <v>21</v>
      </c>
    </row>
    <row r="29" spans="1:12" x14ac:dyDescent="0.3">
      <c r="A29" s="90" t="s">
        <v>83</v>
      </c>
      <c r="B29" s="79">
        <v>6</v>
      </c>
      <c r="C29" s="80" t="s">
        <v>5</v>
      </c>
      <c r="D29" s="79"/>
      <c r="E29" s="83"/>
      <c r="F29" s="84">
        <f>SUM(F30:F34)</f>
        <v>12500</v>
      </c>
      <c r="G29" s="84">
        <f t="shared" ref="G29:L29" si="15">SUM(G30:G34)</f>
        <v>0</v>
      </c>
      <c r="H29" s="84">
        <f t="shared" si="15"/>
        <v>12500</v>
      </c>
      <c r="I29" s="84">
        <f t="shared" si="15"/>
        <v>11763.130000000001</v>
      </c>
      <c r="J29" s="84">
        <f t="shared" si="15"/>
        <v>3956.4300000000003</v>
      </c>
      <c r="K29" s="84">
        <f t="shared" si="15"/>
        <v>7806.7</v>
      </c>
      <c r="L29" s="84">
        <f t="shared" si="15"/>
        <v>736.86999999999989</v>
      </c>
    </row>
    <row r="30" spans="1:12" x14ac:dyDescent="0.3">
      <c r="A30" s="91" t="s">
        <v>84</v>
      </c>
      <c r="B30" s="15" t="s">
        <v>155</v>
      </c>
      <c r="C30" s="16" t="s">
        <v>156</v>
      </c>
      <c r="D30" s="16"/>
      <c r="E30" s="16"/>
      <c r="F30" s="17">
        <v>500</v>
      </c>
      <c r="G30" s="17">
        <v>0</v>
      </c>
      <c r="H30" s="23">
        <f t="shared" ref="H30" si="16">F30+G30</f>
        <v>500</v>
      </c>
      <c r="I30" s="17">
        <v>0</v>
      </c>
      <c r="J30" s="23">
        <f t="shared" ref="J30:J34" si="17">I30-K30</f>
        <v>0</v>
      </c>
      <c r="K30" s="17">
        <v>0</v>
      </c>
      <c r="L30" s="23">
        <f>H30-I30</f>
        <v>500</v>
      </c>
    </row>
    <row r="31" spans="1:12" x14ac:dyDescent="0.3">
      <c r="A31" s="91" t="s">
        <v>87</v>
      </c>
      <c r="B31" s="15" t="s">
        <v>157</v>
      </c>
      <c r="C31" s="16" t="s">
        <v>158</v>
      </c>
      <c r="D31" s="16"/>
      <c r="E31" s="16"/>
      <c r="F31" s="17">
        <v>2000</v>
      </c>
      <c r="G31" s="17">
        <v>0</v>
      </c>
      <c r="H31" s="23">
        <f t="shared" ref="H31:H34" si="18">F31+G31</f>
        <v>2000</v>
      </c>
      <c r="I31" s="17">
        <v>0</v>
      </c>
      <c r="J31" s="23">
        <f t="shared" si="17"/>
        <v>0</v>
      </c>
      <c r="K31" s="17">
        <v>0</v>
      </c>
      <c r="L31" s="23">
        <f>H31-I31</f>
        <v>2000</v>
      </c>
    </row>
    <row r="32" spans="1:12" x14ac:dyDescent="0.3">
      <c r="A32" s="91" t="s">
        <v>90</v>
      </c>
      <c r="B32" s="15" t="s">
        <v>159</v>
      </c>
      <c r="C32" s="16" t="s">
        <v>160</v>
      </c>
      <c r="D32" s="16"/>
      <c r="E32" s="16"/>
      <c r="F32" s="17">
        <v>8000</v>
      </c>
      <c r="G32" s="17">
        <v>0</v>
      </c>
      <c r="H32" s="23">
        <f t="shared" si="18"/>
        <v>8000</v>
      </c>
      <c r="I32" s="17">
        <v>11098.84</v>
      </c>
      <c r="J32" s="23">
        <f t="shared" si="17"/>
        <v>3956.4300000000003</v>
      </c>
      <c r="K32" s="17">
        <v>7142.41</v>
      </c>
      <c r="L32" s="23">
        <f>H32-I32</f>
        <v>-3098.84</v>
      </c>
    </row>
    <row r="33" spans="2:12" x14ac:dyDescent="0.3">
      <c r="B33" s="21" t="s">
        <v>161</v>
      </c>
      <c r="C33" s="22" t="s">
        <v>162</v>
      </c>
      <c r="D33" s="16"/>
      <c r="E33" s="22"/>
      <c r="F33" s="17">
        <v>2000</v>
      </c>
      <c r="G33" s="17">
        <v>0</v>
      </c>
      <c r="H33" s="23">
        <f t="shared" si="18"/>
        <v>2000</v>
      </c>
      <c r="I33" s="17">
        <v>0</v>
      </c>
      <c r="J33" s="23">
        <f t="shared" si="17"/>
        <v>0</v>
      </c>
      <c r="K33" s="17">
        <v>0</v>
      </c>
      <c r="L33" s="23">
        <f>H33-I33</f>
        <v>2000</v>
      </c>
    </row>
    <row r="34" spans="2:12" x14ac:dyDescent="0.3">
      <c r="B34" s="21">
        <v>64100</v>
      </c>
      <c r="C34" s="22" t="s">
        <v>181</v>
      </c>
      <c r="D34" s="16"/>
      <c r="E34" s="22"/>
      <c r="F34" s="17">
        <v>0</v>
      </c>
      <c r="G34" s="17">
        <v>0</v>
      </c>
      <c r="H34" s="23">
        <f t="shared" si="18"/>
        <v>0</v>
      </c>
      <c r="I34" s="17">
        <v>664.29</v>
      </c>
      <c r="J34" s="23">
        <f t="shared" si="17"/>
        <v>0</v>
      </c>
      <c r="K34" s="17">
        <v>664.29</v>
      </c>
      <c r="L34" s="23">
        <f>H34-I34</f>
        <v>-664.29</v>
      </c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&amp;CLiquidació pressupost 2024 Institut Metròpoli_31/12/2024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26B4F77A253745BEB532A475AA1404" ma:contentTypeVersion="18" ma:contentTypeDescription="Crear nuevo documento." ma:contentTypeScope="" ma:versionID="0ac15a2719bb3b9abd0b14afdd90010e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ef1401bccd1fc2e0367b693f3d0aa677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org_mem_x00f2_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rg_mem_x00f2_ria" ma:index="25" nillable="true" ma:displayName="org_memòria" ma:format="RadioButtons" ma:internalName="org_mem_x00f2_ria">
      <xsd:simpleType>
        <xsd:union memberTypes="dms:Text">
          <xsd:simpleType>
            <xsd:restriction base="dms:Choice">
              <xsd:enumeration value="aparador"/>
              <xsd:enumeration value="calaix"/>
              <xsd:enumeration value="prestatge"/>
              <xsd:enumeration value="traster"/>
              <xsd:enumeration value="paperera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be3a3b-e8e0-4c60-85a0-914a76045c4b">
      <Terms xmlns="http://schemas.microsoft.com/office/infopath/2007/PartnerControls"/>
    </lcf76f155ced4ddcb4097134ff3c332f>
    <org_mem_x00f2_ria xmlns="8bbe3a3b-e8e0-4c60-85a0-914a76045c4b" xsi:nil="true"/>
  </documentManagement>
</p:properties>
</file>

<file path=customXml/itemProps1.xml><?xml version="1.0" encoding="utf-8"?>
<ds:datastoreItem xmlns:ds="http://schemas.openxmlformats.org/officeDocument/2006/customXml" ds:itemID="{7D5DBB73-5279-425B-9B8E-91E0AF431D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4E7FE8-F1DF-47E4-89AE-3E58E923F7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545FD5-EE05-4FBB-80A7-D2E92693575B}">
  <ds:schemaRefs>
    <ds:schemaRef ds:uri="http://schemas.microsoft.com/office/2006/metadata/properties"/>
    <ds:schemaRef ds:uri="http://schemas.microsoft.com/office/infopath/2007/PartnerControls"/>
    <ds:schemaRef ds:uri="8bbe3a3b-e8e0-4c60-85a0-914a76045c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Resum</vt:lpstr>
      <vt:lpstr>Cap. 3 Ing. vendes</vt:lpstr>
      <vt:lpstr>Cap. 4 Ing. Transf.corrents</vt:lpstr>
      <vt:lpstr>Cap. 5,8 Ing. pat-Act.fin</vt:lpstr>
      <vt:lpstr>Cap. 1 Desp. Personal</vt:lpstr>
      <vt:lpstr>Cap. 2 Desp.Corrents</vt:lpstr>
      <vt:lpstr>Cap. 3-4-6 Df,TC,Inv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Romero Valle</dc:creator>
  <cp:keywords/>
  <dc:description/>
  <cp:lastModifiedBy>Reyes Ramírez Gómez</cp:lastModifiedBy>
  <cp:revision/>
  <cp:lastPrinted>2025-02-27T11:35:03Z</cp:lastPrinted>
  <dcterms:created xsi:type="dcterms:W3CDTF">2011-11-15T15:44:37Z</dcterms:created>
  <dcterms:modified xsi:type="dcterms:W3CDTF">2025-03-31T08:37:13Z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  <property fmtid="{D5CDD505-2E9C-101B-9397-08002B2CF9AE}" pid="3" name="MediaServiceImageTags">
    <vt:lpwstr/>
  </property>
</Properties>
</file>